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autoCompressPictures="0"/>
  <mc:AlternateContent xmlns:mc="http://schemas.openxmlformats.org/markup-compatibility/2006">
    <mc:Choice Requires="x15">
      <x15ac:absPath xmlns:x15ac="http://schemas.microsoft.com/office/spreadsheetml/2010/11/ac" url="T:\CFSI CMRT\"/>
    </mc:Choice>
  </mc:AlternateContent>
  <xr:revisionPtr revIDLastSave="0" documentId="13_ncr:1_{34F1CCD2-0549-4CE4-9F34-2C3F48B21765}"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702" yWindow="-98" windowWidth="28995" windowHeight="157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V326" i="5"/>
  <c r="T326" i="5"/>
  <c r="V325" i="5"/>
  <c r="S325" i="5"/>
  <c r="AB324" i="5"/>
  <c r="V323" i="5"/>
  <c r="V322" i="5"/>
  <c r="R322" i="5" s="1"/>
  <c r="V321" i="5"/>
  <c r="V319" i="5"/>
  <c r="V318" i="5"/>
  <c r="V317" i="5"/>
  <c r="V315" i="5"/>
  <c r="V313" i="5"/>
  <c r="R313" i="5" s="1"/>
  <c r="V311" i="5"/>
  <c r="V310" i="5"/>
  <c r="V309" i="5"/>
  <c r="V307" i="5"/>
  <c r="V304" i="5"/>
  <c r="V302" i="5"/>
  <c r="V301" i="5"/>
  <c r="V299" i="5"/>
  <c r="AB299" i="5"/>
  <c r="V298" i="5"/>
  <c r="V295" i="5"/>
  <c r="V294" i="5"/>
  <c r="V291" i="5"/>
  <c r="V289" i="5"/>
  <c r="V286" i="5"/>
  <c r="V285" i="5"/>
  <c r="V283" i="5"/>
  <c r="R283" i="5" s="1"/>
  <c r="V282" i="5"/>
  <c r="V278" i="5"/>
  <c r="V275" i="5"/>
  <c r="V274" i="5"/>
  <c r="V273" i="5"/>
  <c r="V271" i="5"/>
  <c r="X271" i="5" s="1"/>
  <c r="V270" i="5"/>
  <c r="V269" i="5"/>
  <c r="X269" i="5" s="1"/>
  <c r="V267" i="5"/>
  <c r="V266" i="5"/>
  <c r="V263" i="5"/>
  <c r="R263" i="5" s="1"/>
  <c r="V259" i="5"/>
  <c r="V258" i="5"/>
  <c r="V257" i="5"/>
  <c r="X257" i="5" s="1"/>
  <c r="V255" i="5"/>
  <c r="R255" i="5" s="1"/>
  <c r="V254" i="5"/>
  <c r="V253" i="5"/>
  <c r="R253" i="5" s="1"/>
  <c r="T250" i="5"/>
  <c r="V250" i="5"/>
  <c r="V249" i="5"/>
  <c r="V247" i="5"/>
  <c r="V246" i="5"/>
  <c r="V245" i="5"/>
  <c r="V242" i="5"/>
  <c r="V241" i="5"/>
  <c r="V238" i="5"/>
  <c r="V237" i="5"/>
  <c r="V235" i="5"/>
  <c r="V234" i="5"/>
  <c r="V233" i="5"/>
  <c r="R233" i="5" s="1"/>
  <c r="V231" i="5"/>
  <c r="V230" i="5"/>
  <c r="V229" i="5"/>
  <c r="V227" i="5"/>
  <c r="T226"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T180" i="5"/>
  <c r="V179" i="5"/>
  <c r="V178" i="5"/>
  <c r="V177" i="5"/>
  <c r="V174" i="5"/>
  <c r="V173" i="5"/>
  <c r="V171" i="5"/>
  <c r="V170" i="5"/>
  <c r="V169" i="5"/>
  <c r="V167" i="5"/>
  <c r="V166" i="5"/>
  <c r="V165" i="5"/>
  <c r="T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T121" i="5"/>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T80" i="5"/>
  <c r="V79" i="5"/>
  <c r="V78" i="5"/>
  <c r="R78" i="5" s="1"/>
  <c r="V77" i="5"/>
  <c r="T77" i="5"/>
  <c r="V76" i="5"/>
  <c r="R76" i="5" s="1"/>
  <c r="V75" i="5"/>
  <c r="V74" i="5"/>
  <c r="X74" i="5" s="1"/>
  <c r="V73" i="5"/>
  <c r="V72" i="5"/>
  <c r="R72" i="5" s="1"/>
  <c r="T72" i="5"/>
  <c r="V70" i="5"/>
  <c r="V69" i="5"/>
  <c r="R69" i="5" s="1"/>
  <c r="T69" i="5"/>
  <c r="V68" i="5"/>
  <c r="R68" i="5" s="1"/>
  <c r="T68" i="5"/>
  <c r="V67" i="5"/>
  <c r="V66" i="5"/>
  <c r="R66" i="5" s="1"/>
  <c r="V65" i="5"/>
  <c r="R65" i="5" s="1"/>
  <c r="V64" i="5"/>
  <c r="R64" i="5" s="1"/>
  <c r="T64" i="5"/>
  <c r="V63" i="5"/>
  <c r="V62" i="5"/>
  <c r="R62" i="5" s="1"/>
  <c r="V61" i="5"/>
  <c r="T61" i="5"/>
  <c r="V60" i="5"/>
  <c r="R60" i="5" s="1"/>
  <c r="T60" i="5"/>
  <c r="V59" i="5"/>
  <c r="V58" i="5"/>
  <c r="X58" i="5" s="1"/>
  <c r="V57" i="5"/>
  <c r="T57" i="5"/>
  <c r="V56" i="5"/>
  <c r="R56" i="5" s="1"/>
  <c r="T56" i="5"/>
  <c r="V55" i="5"/>
  <c r="V54" i="5"/>
  <c r="V53" i="5"/>
  <c r="R53" i="5" s="1"/>
  <c r="V52" i="5"/>
  <c r="R52" i="5" s="1"/>
  <c r="V51" i="5"/>
  <c r="V50" i="5"/>
  <c r="R50" i="5" s="1"/>
  <c r="V49" i="5"/>
  <c r="R49" i="5" s="1"/>
  <c r="V48" i="5"/>
  <c r="R48" i="5" s="1"/>
  <c r="V47" i="5"/>
  <c r="V46" i="5"/>
  <c r="R46" i="5" s="1"/>
  <c r="V45" i="5"/>
  <c r="R45" i="5" s="1"/>
  <c r="V44" i="5"/>
  <c r="R44" i="5" s="1"/>
  <c r="V42" i="5"/>
  <c r="X42" i="5" s="1"/>
  <c r="V41" i="5"/>
  <c r="T41" i="5"/>
  <c r="V40" i="5"/>
  <c r="R40" i="5" s="1"/>
  <c r="V39" i="5"/>
  <c r="V38" i="5"/>
  <c r="V37" i="5"/>
  <c r="R37" i="5" s="1"/>
  <c r="V36" i="5"/>
  <c r="R36" i="5" s="1"/>
  <c r="V35" i="5"/>
  <c r="V34" i="5"/>
  <c r="R34" i="5" s="1"/>
  <c r="V33" i="5"/>
  <c r="R33" i="5" s="1"/>
  <c r="T33" i="5"/>
  <c r="V32" i="5"/>
  <c r="R32" i="5" s="1"/>
  <c r="V31" i="5"/>
  <c r="V30" i="5"/>
  <c r="V29" i="5"/>
  <c r="V28" i="5"/>
  <c r="V27" i="5"/>
  <c r="V26" i="5"/>
  <c r="T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317" i="5"/>
  <c r="T304" i="5"/>
  <c r="S297" i="5"/>
  <c r="S285" i="5"/>
  <c r="S257" i="5"/>
  <c r="S233" i="5"/>
  <c r="S218" i="5"/>
  <c r="S196" i="5"/>
  <c r="S190" i="5"/>
  <c r="S182" i="5"/>
  <c r="S168" i="5"/>
  <c r="T161" i="5"/>
  <c r="S154" i="5"/>
  <c r="T129" i="5"/>
  <c r="S118" i="5"/>
  <c r="S98" i="5"/>
  <c r="T65" i="5"/>
  <c r="T37" i="5"/>
  <c r="T20" i="5"/>
  <c r="T110" i="5"/>
  <c r="T316" i="5"/>
  <c r="T310" i="5"/>
  <c r="S303" i="5"/>
  <c r="S265" i="5"/>
  <c r="S249" i="5"/>
  <c r="S241" i="5"/>
  <c r="S202" i="5"/>
  <c r="T189" i="5"/>
  <c r="S174" i="5"/>
  <c r="T141" i="5"/>
  <c r="S134" i="5"/>
  <c r="S128" i="5"/>
  <c r="S122" i="5"/>
  <c r="T88" i="5"/>
  <c r="S78" i="5"/>
  <c r="S74" i="5"/>
  <c r="S46" i="5"/>
  <c r="S44" i="5"/>
  <c r="S34" i="5"/>
  <c r="T28" i="5"/>
  <c r="S321" i="5"/>
  <c r="S217" i="5"/>
  <c r="S208" i="5"/>
  <c r="S200" i="5"/>
  <c r="S194" i="5"/>
  <c r="T153" i="5"/>
  <c r="S146" i="5"/>
  <c r="T116" i="5"/>
  <c r="S102" i="5"/>
  <c r="T97" i="5"/>
  <c r="S82" i="5"/>
  <c r="S50" i="5"/>
  <c r="T36" i="5"/>
  <c r="T19" i="5"/>
  <c r="T73" i="5"/>
  <c r="S54" i="5"/>
  <c r="T45" i="5"/>
  <c r="S315" i="5"/>
  <c r="S309" i="5"/>
  <c r="T294" i="5"/>
  <c r="S282" i="5"/>
  <c r="S262" i="5"/>
  <c r="S230" i="5"/>
  <c r="S216" i="5"/>
  <c r="T173" i="5"/>
  <c r="S158" i="5"/>
  <c r="T152" i="5"/>
  <c r="T133" i="5"/>
  <c r="T109" i="5"/>
  <c r="S92" i="5"/>
  <c r="S86" i="5"/>
  <c r="T40" i="5"/>
  <c r="S58" i="5"/>
  <c r="T49" i="5"/>
  <c r="S319" i="5"/>
  <c r="T308" i="5"/>
  <c r="S301" i="5"/>
  <c r="S281" i="5"/>
  <c r="S261" i="5"/>
  <c r="S253" i="5"/>
  <c r="S246" i="5"/>
  <c r="S221" i="5"/>
  <c r="S206" i="5"/>
  <c r="T193" i="5"/>
  <c r="T172" i="5"/>
  <c r="T145" i="5"/>
  <c r="S138" i="5"/>
  <c r="S126" i="5"/>
  <c r="S120" i="5"/>
  <c r="S114" i="5"/>
  <c r="T108" i="5"/>
  <c r="T101" i="5"/>
  <c r="S96" i="5"/>
  <c r="T81" i="5"/>
  <c r="T76" i="5"/>
  <c r="T324" i="5"/>
  <c r="S313" i="5"/>
  <c r="S220" i="5"/>
  <c r="S214" i="5"/>
  <c r="S198" i="5"/>
  <c r="S192" i="5"/>
  <c r="T185" i="5"/>
  <c r="T157" i="5"/>
  <c r="T150" i="5"/>
  <c r="T120" i="5"/>
  <c r="T100" i="5"/>
  <c r="S90" i="5"/>
  <c r="T85" i="5"/>
  <c r="T318" i="5"/>
  <c r="S305" i="5"/>
  <c r="S278" i="5"/>
  <c r="S269" i="5"/>
  <c r="S234" i="5"/>
  <c r="T205" i="5"/>
  <c r="T190" i="5"/>
  <c r="T177" i="5"/>
  <c r="S162" i="5"/>
  <c r="S136" i="5"/>
  <c r="S130" i="5"/>
  <c r="T125" i="5"/>
  <c r="T113" i="5"/>
  <c r="S76" i="5"/>
  <c r="S66" i="5"/>
  <c r="S48" i="5"/>
  <c r="S38" i="5"/>
  <c r="S22" i="5"/>
  <c r="S62" i="5"/>
  <c r="T53" i="5"/>
  <c r="S323" i="5"/>
  <c r="S311" i="5"/>
  <c r="S277" i="5"/>
  <c r="S250" i="5"/>
  <c r="S242" i="5"/>
  <c r="S213" i="5"/>
  <c r="T197" i="5"/>
  <c r="T176" i="5"/>
  <c r="T148" i="5"/>
  <c r="S142" i="5"/>
  <c r="S106" i="5"/>
  <c r="S94" i="5"/>
  <c r="T89" i="5"/>
  <c r="T84" i="5"/>
  <c r="S70" i="5"/>
  <c r="T52" i="5"/>
  <c r="S42" i="5"/>
  <c r="S104" i="5"/>
  <c r="T93" i="5"/>
  <c r="R86" i="5" l="1"/>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AB364" i="5"/>
  <c r="R488" i="5"/>
  <c r="G761" i="5"/>
  <c r="H1178" i="5"/>
  <c r="J1218" i="5"/>
  <c r="J1250" i="5"/>
  <c r="AB1312" i="5"/>
  <c r="F2013" i="5"/>
  <c r="V2061" i="5"/>
  <c r="E2061" i="5" s="1"/>
  <c r="X2061" i="5" s="1"/>
  <c r="AB2065" i="5"/>
  <c r="AB2152" i="5"/>
  <c r="H2474" i="5"/>
  <c r="X171" i="5"/>
  <c r="AB196"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X158" i="5"/>
  <c r="AB231" i="5"/>
  <c r="AB838" i="5"/>
  <c r="AB983" i="5"/>
  <c r="G1246" i="5"/>
  <c r="AB1288" i="5"/>
  <c r="AB1455" i="5"/>
  <c r="J1551" i="5"/>
  <c r="AB2146" i="5"/>
  <c r="G2297" i="5"/>
  <c r="AB2089" i="5"/>
  <c r="AB340" i="5"/>
  <c r="AB469" i="5"/>
  <c r="AB473" i="5"/>
  <c r="G528" i="5"/>
  <c r="AB666" i="5"/>
  <c r="J1230" i="5"/>
  <c r="AB1241" i="5"/>
  <c r="AB1531" i="5"/>
  <c r="AB1779" i="5"/>
  <c r="J2045" i="5"/>
  <c r="AB2053" i="5"/>
  <c r="AB2225" i="5"/>
  <c r="AB2229" i="5"/>
  <c r="AB2435" i="5"/>
  <c r="E2450" i="5"/>
  <c r="X2450" i="5" s="1"/>
  <c r="X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594" i="5"/>
  <c r="G594" i="5"/>
  <c r="T1305" i="5"/>
  <c r="S1305" i="5"/>
  <c r="AB1743" i="5"/>
  <c r="S1743" i="5"/>
  <c r="T1802" i="5"/>
  <c r="AB1802" i="5"/>
  <c r="F1909" i="5"/>
  <c r="R1909" i="5"/>
  <c r="H1909" i="5"/>
  <c r="R2458" i="5"/>
  <c r="I2458" i="5"/>
  <c r="AB30" i="5"/>
  <c r="AB126" i="5"/>
  <c r="T233"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X78" i="5"/>
  <c r="X170" i="5"/>
  <c r="AB218" i="5"/>
  <c r="AB23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X134" i="5"/>
  <c r="X235" i="5"/>
  <c r="T262" i="5"/>
  <c r="V265" i="5"/>
  <c r="R265" i="5" s="1"/>
  <c r="X291"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G330" i="5" s="1"/>
  <c r="T895" i="5"/>
  <c r="AB895" i="5"/>
  <c r="S895" i="5"/>
  <c r="AB1863" i="5"/>
  <c r="T1863" i="5"/>
  <c r="S1863" i="5"/>
  <c r="R54" i="5"/>
  <c r="R74" i="5"/>
  <c r="X90" i="5"/>
  <c r="V91" i="5"/>
  <c r="V189" i="5"/>
  <c r="R189" i="5" s="1"/>
  <c r="AB210" i="5"/>
  <c r="R225" i="5"/>
  <c r="X225" i="5"/>
  <c r="V243" i="5"/>
  <c r="X309" i="5"/>
  <c r="F357" i="5"/>
  <c r="E357" i="5"/>
  <c r="X357" i="5" s="1"/>
  <c r="G399" i="5"/>
  <c r="V463" i="5"/>
  <c r="R463" i="5" s="1"/>
  <c r="G586" i="5"/>
  <c r="F586" i="5"/>
  <c r="I714" i="5"/>
  <c r="J714" i="5"/>
  <c r="T738" i="5"/>
  <c r="S738" i="5"/>
  <c r="R94" i="5"/>
  <c r="AB170" i="5"/>
  <c r="E452" i="5"/>
  <c r="X452" i="5" s="1"/>
  <c r="H452" i="5"/>
  <c r="F452" i="5"/>
  <c r="S1497" i="5"/>
  <c r="T1497" i="5"/>
  <c r="X26" i="5"/>
  <c r="X63" i="5"/>
  <c r="V102" i="5"/>
  <c r="X126" i="5"/>
  <c r="V207" i="5"/>
  <c r="R237" i="5"/>
  <c r="X237" i="5"/>
  <c r="V262" i="5"/>
  <c r="AB262" i="5"/>
  <c r="AB298" i="5"/>
  <c r="T298" i="5"/>
  <c r="T328" i="5"/>
  <c r="S328" i="5"/>
  <c r="T354" i="5"/>
  <c r="S354" i="5"/>
  <c r="E451" i="5"/>
  <c r="X451" i="5" s="1"/>
  <c r="F451" i="5"/>
  <c r="R453" i="5"/>
  <c r="J453" i="5"/>
  <c r="H453" i="5"/>
  <c r="F453" i="5"/>
  <c r="S581" i="5"/>
  <c r="T581" i="5"/>
  <c r="X107" i="5"/>
  <c r="R125" i="5"/>
  <c r="T1447" i="5"/>
  <c r="AB1447" i="5"/>
  <c r="S1447" i="5"/>
  <c r="V43" i="5"/>
  <c r="R22" i="5"/>
  <c r="V87" i="5"/>
  <c r="R90" i="5"/>
  <c r="T96" i="5"/>
  <c r="AB114" i="5"/>
  <c r="R123" i="5"/>
  <c r="R167" i="5"/>
  <c r="X187" i="5"/>
  <c r="R187" i="5"/>
  <c r="V306" i="5"/>
  <c r="I361" i="5"/>
  <c r="J361" i="5"/>
  <c r="H361" i="5"/>
  <c r="F361" i="5"/>
  <c r="V391" i="5"/>
  <c r="G391" i="5" s="1"/>
  <c r="G451" i="5"/>
  <c r="I479" i="5"/>
  <c r="H479" i="5"/>
  <c r="E479" i="5"/>
  <c r="X479" i="5" s="1"/>
  <c r="T519" i="5"/>
  <c r="S519" i="5"/>
  <c r="V574" i="5"/>
  <c r="F574" i="5" s="1"/>
  <c r="T641" i="5"/>
  <c r="S641" i="5"/>
  <c r="R59" i="5"/>
  <c r="R111" i="5"/>
  <c r="R171" i="5"/>
  <c r="V194" i="5"/>
  <c r="V314" i="5"/>
  <c r="T351" i="5"/>
  <c r="S351" i="5"/>
  <c r="T454" i="5"/>
  <c r="S454" i="5"/>
  <c r="E468" i="5"/>
  <c r="X468" i="5" s="1"/>
  <c r="F468" i="5"/>
  <c r="T483" i="5"/>
  <c r="S483" i="5"/>
  <c r="V562" i="5"/>
  <c r="R562" i="5" s="1"/>
  <c r="I1848" i="5"/>
  <c r="H1848" i="5"/>
  <c r="V115" i="5"/>
  <c r="AB166" i="5"/>
  <c r="T166" i="5"/>
  <c r="X198" i="5"/>
  <c r="V201" i="5"/>
  <c r="R201" i="5" s="1"/>
  <c r="R245" i="5"/>
  <c r="I461" i="5"/>
  <c r="F461" i="5"/>
  <c r="J552" i="5"/>
  <c r="H552" i="5"/>
  <c r="AB178" i="5"/>
  <c r="V215" i="5"/>
  <c r="R299" i="5"/>
  <c r="T379" i="5"/>
  <c r="S379" i="5"/>
  <c r="E392" i="5"/>
  <c r="X392" i="5" s="1"/>
  <c r="I392" i="5"/>
  <c r="H392" i="5"/>
  <c r="X62" i="5"/>
  <c r="AB110" i="5"/>
  <c r="R30" i="5"/>
  <c r="V71" i="5"/>
  <c r="V103" i="5"/>
  <c r="R107" i="5"/>
  <c r="AB150" i="5"/>
  <c r="AB186" i="5"/>
  <c r="V239" i="5"/>
  <c r="F372" i="5"/>
  <c r="I372" i="5"/>
  <c r="H372" i="5"/>
  <c r="F392" i="5"/>
  <c r="R401" i="5"/>
  <c r="J401" i="5"/>
  <c r="F455" i="5"/>
  <c r="G455" i="5"/>
  <c r="I507" i="5"/>
  <c r="F507" i="5"/>
  <c r="T601" i="5"/>
  <c r="S601" i="5"/>
  <c r="AB230" i="5"/>
  <c r="AB251" i="5"/>
  <c r="AB267"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AB132" i="5"/>
  <c r="AB190" i="5"/>
  <c r="V191" i="5"/>
  <c r="AB263" i="5"/>
  <c r="X265" i="5"/>
  <c r="AB275"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V175"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AB207" i="5"/>
  <c r="AB215" i="5"/>
  <c r="AB282" i="5"/>
  <c r="X301"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AB174" i="5"/>
  <c r="AB219" i="5"/>
  <c r="AB239" i="5"/>
  <c r="AB278"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1" i="5"/>
  <c r="X247" i="5"/>
  <c r="R247" i="5"/>
  <c r="X259" i="5"/>
  <c r="R259" i="5"/>
  <c r="R173" i="5"/>
  <c r="R93" i="5"/>
  <c r="X93" i="5"/>
  <c r="R99" i="5"/>
  <c r="X99" i="5"/>
  <c r="R135" i="5"/>
  <c r="X135" i="5"/>
  <c r="X159" i="5"/>
  <c r="R159" i="5"/>
  <c r="I373" i="5"/>
  <c r="R373" i="5"/>
  <c r="J373" i="5"/>
  <c r="H373" i="5"/>
  <c r="F373" i="5"/>
  <c r="E373" i="5"/>
  <c r="X373" i="5" s="1"/>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E337" i="5"/>
  <c r="X337" i="5" s="1"/>
  <c r="X31" i="5"/>
  <c r="X113" i="5"/>
  <c r="R113" i="5"/>
  <c r="R155" i="5"/>
  <c r="X155" i="5"/>
  <c r="R203" i="5"/>
  <c r="X203" i="5"/>
  <c r="R249" i="5"/>
  <c r="X249" i="5"/>
  <c r="R39" i="5"/>
  <c r="R55" i="5"/>
  <c r="R115" i="5"/>
  <c r="AB140" i="5"/>
  <c r="V151" i="5"/>
  <c r="AB156" i="5"/>
  <c r="AB160" i="5"/>
  <c r="V163" i="5"/>
  <c r="R179" i="5"/>
  <c r="AB204" i="5"/>
  <c r="AB211" i="5"/>
  <c r="V211" i="5"/>
  <c r="R231" i="5"/>
  <c r="R267" i="5"/>
  <c r="R289" i="5"/>
  <c r="X289" i="5"/>
  <c r="X295" i="5"/>
  <c r="R295" i="5"/>
  <c r="X321" i="5"/>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X98" i="5"/>
  <c r="X142" i="5"/>
  <c r="AB222" i="5"/>
  <c r="AB254" i="5"/>
  <c r="AB258" i="5"/>
  <c r="AB270" i="5"/>
  <c r="V277" i="5"/>
  <c r="V290" i="5"/>
  <c r="T293" i="5"/>
  <c r="X317" i="5"/>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X34" i="5"/>
  <c r="R42" i="5"/>
  <c r="X45" i="5"/>
  <c r="X55" i="5"/>
  <c r="X115" i="5"/>
  <c r="AB118" i="5"/>
  <c r="AB130" i="5"/>
  <c r="X138" i="5"/>
  <c r="X179" i="5"/>
  <c r="AB182" i="5"/>
  <c r="AB194" i="5"/>
  <c r="X202" i="5"/>
  <c r="T206" i="5"/>
  <c r="T214" i="5"/>
  <c r="R235" i="5"/>
  <c r="T238" i="5"/>
  <c r="X263" i="5"/>
  <c r="T273" i="5"/>
  <c r="V293" i="5"/>
  <c r="X299" i="5"/>
  <c r="AB315" i="5"/>
  <c r="R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R58" i="5"/>
  <c r="X23" i="5"/>
  <c r="AB26" i="5"/>
  <c r="X39" i="5"/>
  <c r="AB22" i="5"/>
  <c r="R25" i="5"/>
  <c r="X38" i="5"/>
  <c r="R47" i="5"/>
  <c r="X54" i="5"/>
  <c r="R63" i="5"/>
  <c r="X70" i="5"/>
  <c r="R79" i="5"/>
  <c r="X86" i="5"/>
  <c r="R95" i="5"/>
  <c r="X103" i="5"/>
  <c r="AB108" i="5"/>
  <c r="X111" i="5"/>
  <c r="AB124" i="5"/>
  <c r="AB128" i="5"/>
  <c r="X137" i="5"/>
  <c r="AB146" i="5"/>
  <c r="R147" i="5"/>
  <c r="X166" i="5"/>
  <c r="X167" i="5"/>
  <c r="AB172" i="5"/>
  <c r="X175" i="5"/>
  <c r="AB188" i="5"/>
  <c r="AB192" i="5"/>
  <c r="AB206" i="5"/>
  <c r="AB214" i="5"/>
  <c r="AB226" i="5"/>
  <c r="X231" i="5"/>
  <c r="X253" i="5"/>
  <c r="V261" i="5"/>
  <c r="R273" i="5"/>
  <c r="X273" i="5"/>
  <c r="R285" i="5"/>
  <c r="X285" i="5"/>
  <c r="R291" i="5"/>
  <c r="AB294" i="5"/>
  <c r="V305" i="5"/>
  <c r="X325" i="5"/>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266" i="5"/>
  <c r="V287" i="5"/>
  <c r="AB134" i="5"/>
  <c r="AB142" i="5"/>
  <c r="X145" i="5"/>
  <c r="X161" i="5"/>
  <c r="AB198" i="5"/>
  <c r="T202" i="5"/>
  <c r="X255" i="5"/>
  <c r="X267" i="5"/>
  <c r="X283" i="5"/>
  <c r="AB306" i="5"/>
  <c r="AB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R317" i="5"/>
  <c r="T367" i="5"/>
  <c r="S367" i="5"/>
  <c r="X33" i="5"/>
  <c r="X49" i="5"/>
  <c r="X65" i="5"/>
  <c r="X81" i="5"/>
  <c r="X110" i="5"/>
  <c r="AB138" i="5"/>
  <c r="AB154" i="5"/>
  <c r="AB158" i="5"/>
  <c r="X174" i="5"/>
  <c r="AB202" i="5"/>
  <c r="T210" i="5"/>
  <c r="T213" i="5"/>
  <c r="AB223" i="5"/>
  <c r="X233" i="5"/>
  <c r="AB238" i="5"/>
  <c r="X245" i="5"/>
  <c r="AB246" i="5"/>
  <c r="R257" i="5"/>
  <c r="AB259" i="5"/>
  <c r="AB274" i="5"/>
  <c r="X275" i="5"/>
  <c r="R275" i="5"/>
  <c r="T289" i="5"/>
  <c r="X313" i="5"/>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37" i="5"/>
  <c r="X53" i="5"/>
  <c r="X69" i="5"/>
  <c r="X85" i="5"/>
  <c r="X95" i="5"/>
  <c r="R101" i="5"/>
  <c r="R145" i="5"/>
  <c r="X147" i="5"/>
  <c r="AB162" i="5"/>
  <c r="R165" i="5"/>
  <c r="AB227" i="5"/>
  <c r="AB247" i="5"/>
  <c r="V251" i="5"/>
  <c r="R269" i="5"/>
  <c r="V297" i="5"/>
  <c r="R309" i="5"/>
  <c r="AB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c r="V303" i="5"/>
  <c r="AB304" i="5"/>
  <c r="T319"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412" i="5"/>
  <c r="X304" i="5"/>
  <c r="AB23" i="5"/>
  <c r="X28" i="5"/>
  <c r="V112" i="5"/>
  <c r="AB115" i="5"/>
  <c r="R146" i="5"/>
  <c r="V176" i="5"/>
  <c r="AB179" i="5"/>
  <c r="T179" i="5"/>
  <c r="AB201" i="5"/>
  <c r="X234" i="5"/>
  <c r="R234" i="5"/>
  <c r="X254" i="5"/>
  <c r="R254" i="5"/>
  <c r="X286" i="5"/>
  <c r="R286" i="5"/>
  <c r="AB320" i="5"/>
  <c r="V320" i="5"/>
  <c r="AB412" i="5"/>
  <c r="T412" i="5"/>
  <c r="S412" i="5"/>
  <c r="AB105" i="5"/>
  <c r="R114" i="5"/>
  <c r="AB137" i="5"/>
  <c r="V144" i="5"/>
  <c r="AB147" i="5"/>
  <c r="AB169" i="5"/>
  <c r="R178" i="5"/>
  <c r="AB240" i="5"/>
  <c r="X270" i="5"/>
  <c r="R270" i="5"/>
  <c r="R311" i="5"/>
  <c r="X311" i="5"/>
  <c r="R5" i="5"/>
  <c r="X20" i="5"/>
  <c r="AB20" i="5"/>
  <c r="R21" i="5"/>
  <c r="AB28" i="5"/>
  <c r="R29" i="5"/>
  <c r="AB34" i="5"/>
  <c r="AB38" i="5"/>
  <c r="AB42" i="5"/>
  <c r="AB46" i="5"/>
  <c r="AB50" i="5"/>
  <c r="AB54" i="5"/>
  <c r="AB58" i="5"/>
  <c r="AB62" i="5"/>
  <c r="AB66" i="5"/>
  <c r="AB70" i="5"/>
  <c r="AB74" i="5"/>
  <c r="AB78" i="5"/>
  <c r="AB82" i="5"/>
  <c r="AB86" i="5"/>
  <c r="AB90" i="5"/>
  <c r="AB94" i="5"/>
  <c r="AB98" i="5"/>
  <c r="AB104" i="5"/>
  <c r="X114" i="5"/>
  <c r="AB117" i="5"/>
  <c r="V124" i="5"/>
  <c r="X125" i="5"/>
  <c r="R126" i="5"/>
  <c r="AB127" i="5"/>
  <c r="AB136" i="5"/>
  <c r="X146" i="5"/>
  <c r="AB149" i="5"/>
  <c r="V156" i="5"/>
  <c r="X157" i="5"/>
  <c r="R158" i="5"/>
  <c r="AB159" i="5"/>
  <c r="AB168" i="5"/>
  <c r="X178" i="5"/>
  <c r="AB181" i="5"/>
  <c r="V188" i="5"/>
  <c r="X189" i="5"/>
  <c r="R190" i="5"/>
  <c r="AB191" i="5"/>
  <c r="AB200" i="5"/>
  <c r="X218" i="5"/>
  <c r="R218" i="5"/>
  <c r="AB220" i="5"/>
  <c r="T220" i="5"/>
  <c r="X238" i="5"/>
  <c r="R238" i="5"/>
  <c r="AB244" i="5"/>
  <c r="AB260" i="5"/>
  <c r="AB276" i="5"/>
  <c r="AB292" i="5"/>
  <c r="AB5" i="5"/>
  <c r="AB21" i="5"/>
  <c r="AB29" i="5"/>
  <c r="T29" i="5"/>
  <c r="AB35" i="5"/>
  <c r="AB39" i="5"/>
  <c r="AB43" i="5"/>
  <c r="AB47" i="5"/>
  <c r="AB51" i="5"/>
  <c r="T51" i="5"/>
  <c r="AB55" i="5"/>
  <c r="T55" i="5"/>
  <c r="AB59" i="5"/>
  <c r="T59" i="5"/>
  <c r="AB63" i="5"/>
  <c r="AB67" i="5"/>
  <c r="T67" i="5"/>
  <c r="AB71" i="5"/>
  <c r="AB75" i="5"/>
  <c r="AB79" i="5"/>
  <c r="T79" i="5"/>
  <c r="AB83" i="5"/>
  <c r="AB87" i="5"/>
  <c r="AB91" i="5"/>
  <c r="AB95" i="5"/>
  <c r="T95" i="5"/>
  <c r="AB99" i="5"/>
  <c r="T99" i="5"/>
  <c r="V104" i="5"/>
  <c r="R106" i="5"/>
  <c r="AB107" i="5"/>
  <c r="AB116" i="5"/>
  <c r="AB129" i="5"/>
  <c r="V136" i="5"/>
  <c r="R138" i="5"/>
  <c r="AB139" i="5"/>
  <c r="AB148" i="5"/>
  <c r="AB161" i="5"/>
  <c r="V168" i="5"/>
  <c r="R170" i="5"/>
  <c r="AB171" i="5"/>
  <c r="AB180" i="5"/>
  <c r="AB193" i="5"/>
  <c r="V200" i="5"/>
  <c r="R202" i="5"/>
  <c r="AB203" i="5"/>
  <c r="T203" i="5"/>
  <c r="AB209" i="5"/>
  <c r="R210" i="5"/>
  <c r="V220" i="5"/>
  <c r="R221" i="5"/>
  <c r="X242" i="5"/>
  <c r="R242" i="5"/>
  <c r="X258" i="5"/>
  <c r="R258" i="5"/>
  <c r="X274" i="5"/>
  <c r="R274" i="5"/>
  <c r="X290" i="5"/>
  <c r="R323" i="5"/>
  <c r="X323" i="5"/>
  <c r="T360" i="5"/>
  <c r="S360" i="5"/>
  <c r="AB360" i="5"/>
  <c r="E371" i="5"/>
  <c r="X371" i="5" s="1"/>
  <c r="R371" i="5"/>
  <c r="J371" i="5"/>
  <c r="H371" i="5"/>
  <c r="I371" i="5"/>
  <c r="F371" i="5"/>
  <c r="E383" i="5"/>
  <c r="X383" i="5" s="1"/>
  <c r="R383" i="5"/>
  <c r="J383" i="5"/>
  <c r="H383" i="5"/>
  <c r="I383" i="5"/>
  <c r="G383" i="5"/>
  <c r="F383" i="5"/>
  <c r="T32" i="5"/>
  <c r="V116" i="5"/>
  <c r="AB119" i="5"/>
  <c r="V148" i="5"/>
  <c r="X149" i="5"/>
  <c r="AB151" i="5"/>
  <c r="AB173" i="5"/>
  <c r="V180" i="5"/>
  <c r="X181" i="5"/>
  <c r="R182" i="5"/>
  <c r="AB183" i="5"/>
  <c r="T183" i="5"/>
  <c r="S205" i="5"/>
  <c r="AB205" i="5"/>
  <c r="AB212" i="5"/>
  <c r="T212" i="5"/>
  <c r="AB248" i="5"/>
  <c r="AB264" i="5"/>
  <c r="AB280" i="5"/>
  <c r="AB296" i="5"/>
  <c r="T296" i="5"/>
  <c r="R319" i="5"/>
  <c r="X319" i="5"/>
  <c r="AB328" i="5"/>
  <c r="V328" i="5"/>
  <c r="G328" i="5" s="1"/>
  <c r="E351" i="5"/>
  <c r="X351" i="5" s="1"/>
  <c r="R351" i="5"/>
  <c r="J351" i="5"/>
  <c r="H351" i="5"/>
  <c r="I351" i="5"/>
  <c r="F351" i="5"/>
  <c r="AB358" i="5"/>
  <c r="V358" i="5"/>
  <c r="G358" i="5" s="1"/>
  <c r="R118" i="5"/>
  <c r="X5" i="5"/>
  <c r="X118" i="5"/>
  <c r="AB121" i="5"/>
  <c r="V128" i="5"/>
  <c r="R130" i="5"/>
  <c r="AB131" i="5"/>
  <c r="T131" i="5"/>
  <c r="AB153" i="5"/>
  <c r="V160" i="5"/>
  <c r="R162" i="5"/>
  <c r="AB163" i="5"/>
  <c r="T164" i="5"/>
  <c r="X182" i="5"/>
  <c r="AB185" i="5"/>
  <c r="V192" i="5"/>
  <c r="AB195" i="5"/>
  <c r="T195" i="5"/>
  <c r="T196" i="5"/>
  <c r="R206" i="5"/>
  <c r="X209" i="5"/>
  <c r="V212" i="5"/>
  <c r="R213" i="5"/>
  <c r="X222" i="5"/>
  <c r="R222" i="5"/>
  <c r="AB224" i="5"/>
  <c r="X246" i="5"/>
  <c r="R246" i="5"/>
  <c r="X262" i="5"/>
  <c r="R262" i="5"/>
  <c r="X278" i="5"/>
  <c r="R278" i="5"/>
  <c r="X294" i="5"/>
  <c r="R294" i="5"/>
  <c r="R307" i="5"/>
  <c r="X307" i="5"/>
  <c r="AB408" i="5"/>
  <c r="T408" i="5"/>
  <c r="S408" i="5"/>
  <c r="T24" i="5"/>
  <c r="AB109" i="5"/>
  <c r="X117" i="5"/>
  <c r="AB141" i="5"/>
  <c r="R150" i="5"/>
  <c r="AB19" i="5"/>
  <c r="X21" i="5"/>
  <c r="AB27" i="5"/>
  <c r="T27" i="5"/>
  <c r="X29" i="5"/>
  <c r="X24" i="5"/>
  <c r="R28" i="5"/>
  <c r="T30" i="5"/>
  <c r="X32" i="5"/>
  <c r="AB36" i="5"/>
  <c r="AB40" i="5"/>
  <c r="AB44" i="5"/>
  <c r="AB48" i="5"/>
  <c r="AB52" i="5"/>
  <c r="AB56" i="5"/>
  <c r="AB60" i="5"/>
  <c r="AB64" i="5"/>
  <c r="AB68" i="5"/>
  <c r="AB72" i="5"/>
  <c r="AB76" i="5"/>
  <c r="AB80" i="5"/>
  <c r="AB84" i="5"/>
  <c r="AB88" i="5"/>
  <c r="AB92" i="5"/>
  <c r="AB96" i="5"/>
  <c r="AB100" i="5"/>
  <c r="AB101" i="5"/>
  <c r="V108" i="5"/>
  <c r="X109" i="5"/>
  <c r="R110" i="5"/>
  <c r="AB111" i="5"/>
  <c r="AB120" i="5"/>
  <c r="X130" i="5"/>
  <c r="AB133" i="5"/>
  <c r="V140" i="5"/>
  <c r="X141" i="5"/>
  <c r="R142" i="5"/>
  <c r="AB143" i="5"/>
  <c r="AB152" i="5"/>
  <c r="X162" i="5"/>
  <c r="AB165" i="5"/>
  <c r="V172" i="5"/>
  <c r="X173" i="5"/>
  <c r="R174" i="5"/>
  <c r="AB175" i="5"/>
  <c r="AB184" i="5"/>
  <c r="AB197" i="5"/>
  <c r="V204" i="5"/>
  <c r="X205" i="5"/>
  <c r="X206" i="5"/>
  <c r="AB208" i="5"/>
  <c r="T208" i="5"/>
  <c r="AB228" i="5"/>
  <c r="T228" i="5"/>
  <c r="AB252" i="5"/>
  <c r="AB268" i="5"/>
  <c r="AB284" i="5"/>
  <c r="S300" i="5"/>
  <c r="AB300" i="5"/>
  <c r="AB303" i="5"/>
  <c r="AB312" i="5"/>
  <c r="V312" i="5"/>
  <c r="R331" i="5"/>
  <c r="H331" i="5"/>
  <c r="J331" i="5"/>
  <c r="I331" i="5"/>
  <c r="F331" i="5"/>
  <c r="E331" i="5"/>
  <c r="X331" i="5" s="1"/>
  <c r="E384" i="5"/>
  <c r="X384" i="5" s="1"/>
  <c r="J384" i="5"/>
  <c r="R384" i="5"/>
  <c r="I384" i="5"/>
  <c r="H384" i="5"/>
  <c r="F384" i="5"/>
  <c r="AB402" i="5"/>
  <c r="V402" i="5"/>
  <c r="G402" i="5" s="1"/>
  <c r="AB31" i="5"/>
  <c r="AB25" i="5"/>
  <c r="T25" i="5"/>
  <c r="AB37" i="5"/>
  <c r="AB45" i="5"/>
  <c r="AB53" i="5"/>
  <c r="AB57" i="5"/>
  <c r="AB61" i="5"/>
  <c r="AB65" i="5"/>
  <c r="AB69" i="5"/>
  <c r="AB73" i="5"/>
  <c r="AB81" i="5"/>
  <c r="AB89" i="5"/>
  <c r="V100" i="5"/>
  <c r="T105" i="5"/>
  <c r="AB113" i="5"/>
  <c r="R117" i="5"/>
  <c r="V120" i="5"/>
  <c r="X121" i="5"/>
  <c r="AB123" i="5"/>
  <c r="T124" i="5"/>
  <c r="AB145" i="5"/>
  <c r="R149" i="5"/>
  <c r="V152" i="5"/>
  <c r="X153" i="5"/>
  <c r="R154" i="5"/>
  <c r="AB155" i="5"/>
  <c r="T156" i="5"/>
  <c r="AB177" i="5"/>
  <c r="R181" i="5"/>
  <c r="V184" i="5"/>
  <c r="X185" i="5"/>
  <c r="R186" i="5"/>
  <c r="AB187" i="5"/>
  <c r="T201" i="5"/>
  <c r="V208" i="5"/>
  <c r="R209" i="5"/>
  <c r="X214" i="5"/>
  <c r="R214" i="5"/>
  <c r="AB216" i="5"/>
  <c r="T216" i="5"/>
  <c r="X226" i="5"/>
  <c r="R226" i="5"/>
  <c r="AB232" i="5"/>
  <c r="T232" i="5"/>
  <c r="X250" i="5"/>
  <c r="R250" i="5"/>
  <c r="X266" i="5"/>
  <c r="R266" i="5"/>
  <c r="X282" i="5"/>
  <c r="R282" i="5"/>
  <c r="X298" i="5"/>
  <c r="R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33" i="5"/>
  <c r="AB41" i="5"/>
  <c r="AB49" i="5"/>
  <c r="AB77" i="5"/>
  <c r="AB85" i="5"/>
  <c r="AB93" i="5"/>
  <c r="AB97" i="5"/>
  <c r="R122" i="5"/>
  <c r="R18" i="5"/>
  <c r="X22" i="5"/>
  <c r="R23" i="5"/>
  <c r="R26" i="5"/>
  <c r="X30" i="5"/>
  <c r="R31" i="5"/>
  <c r="X36" i="5"/>
  <c r="X40" i="5"/>
  <c r="X44" i="5"/>
  <c r="T46" i="5"/>
  <c r="X48" i="5"/>
  <c r="X52" i="5"/>
  <c r="T54" i="5"/>
  <c r="X56" i="5"/>
  <c r="X60" i="5"/>
  <c r="X64" i="5"/>
  <c r="X68" i="5"/>
  <c r="T70" i="5"/>
  <c r="X72" i="5"/>
  <c r="X76" i="5"/>
  <c r="T78" i="5"/>
  <c r="X80" i="5"/>
  <c r="X84" i="5"/>
  <c r="T86" i="5"/>
  <c r="X88" i="5"/>
  <c r="X92" i="5"/>
  <c r="T94" i="5"/>
  <c r="X96" i="5"/>
  <c r="X101" i="5"/>
  <c r="R102" i="5"/>
  <c r="AB103" i="5"/>
  <c r="T104" i="5"/>
  <c r="AB112" i="5"/>
  <c r="X122" i="5"/>
  <c r="AB125" i="5"/>
  <c r="R129" i="5"/>
  <c r="V132" i="5"/>
  <c r="X133" i="5"/>
  <c r="R134" i="5"/>
  <c r="AB135" i="5"/>
  <c r="AB144" i="5"/>
  <c r="X154" i="5"/>
  <c r="AB157" i="5"/>
  <c r="R161" i="5"/>
  <c r="V164" i="5"/>
  <c r="X165" i="5"/>
  <c r="R166" i="5"/>
  <c r="AB167" i="5"/>
  <c r="AB176" i="5"/>
  <c r="T181" i="5"/>
  <c r="X186" i="5"/>
  <c r="AB189" i="5"/>
  <c r="R193" i="5"/>
  <c r="V196" i="5"/>
  <c r="X197" i="5"/>
  <c r="R198" i="5"/>
  <c r="AB199" i="5"/>
  <c r="T199" i="5"/>
  <c r="T200" i="5"/>
  <c r="V216" i="5"/>
  <c r="R217" i="5"/>
  <c r="X221" i="5"/>
  <c r="X230" i="5"/>
  <c r="R230" i="5"/>
  <c r="AB236" i="5"/>
  <c r="AB256" i="5"/>
  <c r="AB272" i="5"/>
  <c r="T272" i="5"/>
  <c r="AB288" i="5"/>
  <c r="R315" i="5"/>
  <c r="X315" i="5"/>
  <c r="G327" i="5"/>
  <c r="E335" i="5"/>
  <c r="X335" i="5" s="1"/>
  <c r="R335" i="5"/>
  <c r="H335" i="5"/>
  <c r="J335" i="5"/>
  <c r="I335" i="5"/>
  <c r="F335" i="5"/>
  <c r="V359" i="5"/>
  <c r="G359" i="5" s="1"/>
  <c r="T321"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V276" i="5"/>
  <c r="AB277" i="5"/>
  <c r="V280" i="5"/>
  <c r="AB281" i="5"/>
  <c r="V284" i="5"/>
  <c r="AB285" i="5"/>
  <c r="V288" i="5"/>
  <c r="AB289" i="5"/>
  <c r="V292" i="5"/>
  <c r="AB293" i="5"/>
  <c r="V296" i="5"/>
  <c r="AB297" i="5"/>
  <c r="V300" i="5"/>
  <c r="AB301" i="5"/>
  <c r="R302" i="5"/>
  <c r="R304" i="5"/>
  <c r="V308" i="5"/>
  <c r="X310" i="5"/>
  <c r="AB310" i="5"/>
  <c r="V316" i="5"/>
  <c r="X318" i="5"/>
  <c r="AB318" i="5"/>
  <c r="V324" i="5"/>
  <c r="X326" i="5"/>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27" i="5"/>
  <c r="T239" i="5"/>
  <c r="AB305" i="5"/>
  <c r="AB313" i="5"/>
  <c r="AB321"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T302" i="5"/>
  <c r="T322"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T325"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R310" i="5"/>
  <c r="X314" i="5"/>
  <c r="R318" i="5"/>
  <c r="X322" i="5"/>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C10" i="6" s="1"/>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44" i="5"/>
  <c r="S60" i="5"/>
  <c r="T305" i="5"/>
  <c r="S64" i="5"/>
  <c r="S320" i="5"/>
  <c r="T170" i="5"/>
  <c r="S178" i="5"/>
  <c r="T194" i="5"/>
  <c r="S160" i="5"/>
  <c r="S266" i="5"/>
  <c r="T258" i="5"/>
  <c r="S18" i="5"/>
  <c r="S179" i="5"/>
  <c r="S63" i="5"/>
  <c r="T83" i="5"/>
  <c r="S95" i="5"/>
  <c r="T107" i="5"/>
  <c r="T139" i="5"/>
  <c r="T171" i="5"/>
  <c r="T23" i="5"/>
  <c r="S296" i="5"/>
  <c r="S131" i="5"/>
  <c r="S163" i="5"/>
  <c r="S195" i="5"/>
  <c r="S224" i="5"/>
  <c r="S19" i="5"/>
  <c r="S156" i="5"/>
  <c r="T175" i="5"/>
  <c r="T252" i="5"/>
  <c r="S145" i="5"/>
  <c r="S155" i="5"/>
  <c r="S212" i="5"/>
  <c r="S33" i="5"/>
  <c r="S85" i="5"/>
  <c r="T38" i="5"/>
  <c r="T135" i="5"/>
  <c r="T168" i="5"/>
  <c r="S256" i="5"/>
  <c r="T288" i="5"/>
  <c r="S227" i="5"/>
  <c r="S259" i="5"/>
  <c r="S291" i="5"/>
  <c r="T243" i="5"/>
  <c r="T275" i="5"/>
  <c r="S304" i="5"/>
  <c r="S28" i="5"/>
  <c r="S286" i="5"/>
  <c r="S176" i="5"/>
  <c r="S254" i="5"/>
  <c r="T182" i="5"/>
  <c r="S273" i="5"/>
  <c r="T142" i="5"/>
  <c r="T241" i="5"/>
  <c r="T154" i="5"/>
  <c r="S237" i="5"/>
  <c r="S274" i="5"/>
  <c r="S225" i="5"/>
  <c r="S324" i="5"/>
  <c r="S201" i="5"/>
  <c r="S137" i="5"/>
  <c r="S108" i="5"/>
  <c r="T127" i="5"/>
  <c r="S172" i="5"/>
  <c r="T191" i="5"/>
  <c r="T260" i="5"/>
  <c r="T18" i="5"/>
  <c r="S32" i="5"/>
  <c r="S43" i="5"/>
  <c r="T63" i="5"/>
  <c r="S75" i="5"/>
  <c r="S107" i="5"/>
  <c r="S139" i="5"/>
  <c r="S171" i="5"/>
  <c r="S203" i="5"/>
  <c r="T151" i="5"/>
  <c r="T248" i="5"/>
  <c r="T132" i="5"/>
  <c r="S109" i="5"/>
  <c r="S175" i="5"/>
  <c r="S268" i="5"/>
  <c r="T300" i="5"/>
  <c r="S37" i="5"/>
  <c r="S61" i="5"/>
  <c r="S81" i="5"/>
  <c r="S125" i="5"/>
  <c r="S135" i="5"/>
  <c r="S215" i="5"/>
  <c r="S239" i="5"/>
  <c r="S271" i="5"/>
  <c r="T247" i="5"/>
  <c r="T279" i="5"/>
  <c r="S80" i="5"/>
  <c r="T122" i="5"/>
  <c r="T281" i="5"/>
  <c r="T112" i="5"/>
  <c r="T178" i="5"/>
  <c r="T286" i="5"/>
  <c r="T269" i="5"/>
  <c r="S318" i="5"/>
  <c r="T254" i="5"/>
  <c r="T204" i="5"/>
  <c r="T198" i="5"/>
  <c r="T249" i="5"/>
  <c r="T266" i="5"/>
  <c r="T158" i="5"/>
  <c r="S72" i="5"/>
  <c r="T162" i="5"/>
  <c r="T237" i="5"/>
  <c r="T225" i="5"/>
  <c r="T282" i="5"/>
  <c r="T115" i="5"/>
  <c r="S240" i="5"/>
  <c r="S127" i="5"/>
  <c r="S191" i="5"/>
  <c r="S276" i="5"/>
  <c r="S21" i="5"/>
  <c r="T43" i="5"/>
  <c r="S55" i="5"/>
  <c r="T75" i="5"/>
  <c r="S87" i="5"/>
  <c r="S209" i="5"/>
  <c r="S151" i="5"/>
  <c r="S183" i="5"/>
  <c r="S264" i="5"/>
  <c r="S121" i="5"/>
  <c r="S153" i="5"/>
  <c r="T224" i="5"/>
  <c r="T111" i="5"/>
  <c r="S165" i="5"/>
  <c r="T169" i="5"/>
  <c r="T187" i="5"/>
  <c r="S41" i="5"/>
  <c r="S93" i="5"/>
  <c r="T42" i="5"/>
  <c r="T58" i="5"/>
  <c r="T74" i="5"/>
  <c r="T90" i="5"/>
  <c r="T103" i="5"/>
  <c r="T136" i="5"/>
  <c r="S180" i="5"/>
  <c r="T256" i="5"/>
  <c r="S251" i="5"/>
  <c r="S283" i="5"/>
  <c r="T219" i="5"/>
  <c r="T251" i="5"/>
  <c r="T283" i="5"/>
  <c r="T306" i="5"/>
  <c r="T234" i="5"/>
  <c r="T92" i="5"/>
  <c r="T130" i="5"/>
  <c r="S112" i="5"/>
  <c r="S150" i="5"/>
  <c r="T218" i="5"/>
  <c r="S222" i="5"/>
  <c r="S293" i="5"/>
  <c r="S294" i="5"/>
  <c r="T274" i="5"/>
  <c r="S314" i="5"/>
  <c r="S115" i="5"/>
  <c r="S117" i="5"/>
  <c r="T128" i="5"/>
  <c r="S181" i="5"/>
  <c r="T192" i="5"/>
  <c r="S35" i="5"/>
  <c r="S67" i="5"/>
  <c r="T87" i="5"/>
  <c r="S99" i="5"/>
  <c r="S129" i="5"/>
  <c r="S161" i="5"/>
  <c r="S193" i="5"/>
  <c r="S173" i="5"/>
  <c r="S185" i="5"/>
  <c r="S27" i="5"/>
  <c r="S111" i="5"/>
  <c r="S188" i="5"/>
  <c r="S228" i="5"/>
  <c r="T268" i="5"/>
  <c r="T303" i="5"/>
  <c r="S45" i="5"/>
  <c r="S65" i="5"/>
  <c r="S89" i="5"/>
  <c r="S177" i="5"/>
  <c r="S187" i="5"/>
  <c r="S103" i="5"/>
  <c r="S272" i="5"/>
  <c r="T313" i="5"/>
  <c r="S219" i="5"/>
  <c r="S231" i="5"/>
  <c r="S263" i="5"/>
  <c r="S295" i="5"/>
  <c r="T223" i="5"/>
  <c r="T255" i="5"/>
  <c r="T287" i="5"/>
  <c r="T314" i="5"/>
  <c r="T6" i="5"/>
  <c r="T261" i="5"/>
  <c r="T106" i="5"/>
  <c r="T278" i="5"/>
  <c r="T184" i="5"/>
  <c r="S245" i="5"/>
  <c r="T242" i="5"/>
  <c r="T246" i="5"/>
  <c r="S270" i="5"/>
  <c r="S100" i="5"/>
  <c r="T307" i="5"/>
  <c r="S52" i="5"/>
  <c r="T146" i="5"/>
  <c r="S290" i="5"/>
  <c r="S56" i="5"/>
  <c r="S306" i="5"/>
  <c r="S88" i="5"/>
  <c r="S322" i="5"/>
  <c r="T114" i="5"/>
  <c r="T240" i="5"/>
  <c r="S244" i="5"/>
  <c r="T276" i="5"/>
  <c r="T21" i="5"/>
  <c r="T35" i="5"/>
  <c r="S47" i="5"/>
  <c r="S79" i="5"/>
  <c r="T119" i="5"/>
  <c r="T264" i="5"/>
  <c r="S141" i="5"/>
  <c r="S101" i="5"/>
  <c r="S197" i="5"/>
  <c r="S284" i="5"/>
  <c r="T188" i="5"/>
  <c r="S49" i="5"/>
  <c r="S97" i="5"/>
  <c r="T62" i="5"/>
  <c r="S148" i="5"/>
  <c r="S243" i="5"/>
  <c r="S275" i="5"/>
  <c r="T259" i="5"/>
  <c r="T291" i="5"/>
  <c r="T144" i="5"/>
  <c r="S210" i="5"/>
  <c r="S40" i="5"/>
  <c r="S184" i="5"/>
  <c r="T245" i="5"/>
  <c r="S166" i="5"/>
  <c r="T312" i="5"/>
  <c r="S110" i="5"/>
  <c r="S186" i="5"/>
  <c r="T257" i="5"/>
  <c r="T270" i="5"/>
  <c r="T118" i="5"/>
  <c r="S152" i="5"/>
  <c r="S307" i="5"/>
  <c r="T217" i="5"/>
  <c r="S30" i="5"/>
  <c r="S308" i="5"/>
  <c r="T147" i="5"/>
  <c r="S140" i="5"/>
  <c r="T159" i="5"/>
  <c r="S204" i="5"/>
  <c r="S292" i="5"/>
  <c r="S24" i="5"/>
  <c r="T47" i="5"/>
  <c r="S59" i="5"/>
  <c r="S91" i="5"/>
  <c r="S119" i="5"/>
  <c r="S280" i="5"/>
  <c r="S124" i="5"/>
  <c r="T143" i="5"/>
  <c r="S31" i="5"/>
  <c r="S53" i="5"/>
  <c r="S69" i="5"/>
  <c r="T123" i="5"/>
  <c r="T149" i="5"/>
  <c r="S189" i="5"/>
  <c r="S199" i="5"/>
  <c r="S236" i="5"/>
  <c r="S223" i="5"/>
  <c r="S255" i="5"/>
  <c r="S287" i="5"/>
  <c r="T231" i="5"/>
  <c r="T263" i="5"/>
  <c r="T295" i="5"/>
  <c r="T317" i="5"/>
  <c r="T174" i="5"/>
  <c r="T102" i="5"/>
  <c r="S144" i="5"/>
  <c r="S170" i="5"/>
  <c r="S312" i="5"/>
  <c r="T126" i="5"/>
  <c r="T297" i="5"/>
  <c r="S229" i="5"/>
  <c r="T140" i="5"/>
  <c r="S258" i="5"/>
  <c r="S68" i="5"/>
  <c r="S164" i="5"/>
  <c r="S238" i="5"/>
  <c r="T290" i="5"/>
  <c r="S36" i="5"/>
  <c r="S226" i="5"/>
  <c r="S310" i="5"/>
  <c r="T138" i="5"/>
  <c r="T222" i="5"/>
  <c r="T323" i="5"/>
  <c r="T253" i="5"/>
  <c r="S289" i="5"/>
  <c r="T265" i="5"/>
  <c r="T311" i="5"/>
  <c r="S23" i="5"/>
  <c r="S105" i="5"/>
  <c r="S147" i="5"/>
  <c r="S159" i="5"/>
  <c r="T244" i="5"/>
  <c r="S29" i="5"/>
  <c r="S39" i="5"/>
  <c r="S71" i="5"/>
  <c r="T91" i="5"/>
  <c r="T22" i="5"/>
  <c r="S143" i="5"/>
  <c r="S252" i="5"/>
  <c r="T284" i="5"/>
  <c r="S25" i="5"/>
  <c r="S123" i="5"/>
  <c r="S77" i="5"/>
  <c r="T34" i="5"/>
  <c r="T50" i="5"/>
  <c r="T66" i="5"/>
  <c r="T82" i="5"/>
  <c r="T98" i="5"/>
  <c r="S116" i="5"/>
  <c r="T167" i="5"/>
  <c r="S288" i="5"/>
  <c r="S207" i="5"/>
  <c r="S235" i="5"/>
  <c r="S267" i="5"/>
  <c r="S299" i="5"/>
  <c r="T235" i="5"/>
  <c r="T267" i="5"/>
  <c r="T299" i="5"/>
  <c r="T230" i="5"/>
  <c r="T285" i="5"/>
  <c r="T48" i="5"/>
  <c r="T320" i="5"/>
  <c r="S298" i="5"/>
  <c r="S26" i="5"/>
  <c r="S20" i="5"/>
  <c r="T186" i="5"/>
  <c r="S132" i="5"/>
  <c r="T229" i="5"/>
  <c r="S84" i="5"/>
  <c r="T315" i="5"/>
  <c r="T134" i="5"/>
  <c r="T277" i="5"/>
  <c r="S316" i="5"/>
  <c r="S169" i="5"/>
  <c r="S149" i="5"/>
  <c r="T160" i="5"/>
  <c r="S260" i="5"/>
  <c r="T292" i="5"/>
  <c r="T39" i="5"/>
  <c r="S51" i="5"/>
  <c r="T71" i="5"/>
  <c r="S83" i="5"/>
  <c r="S248" i="5"/>
  <c r="T280" i="5"/>
  <c r="T163" i="5"/>
  <c r="S133" i="5"/>
  <c r="S57" i="5"/>
  <c r="S73" i="5"/>
  <c r="S113" i="5"/>
  <c r="T155" i="5"/>
  <c r="S232" i="5"/>
  <c r="T31" i="5"/>
  <c r="T137" i="5"/>
  <c r="T117" i="5"/>
  <c r="S157" i="5"/>
  <c r="S167" i="5"/>
  <c r="T209" i="5"/>
  <c r="T236" i="5"/>
  <c r="S211" i="5"/>
  <c r="S247" i="5"/>
  <c r="S279" i="5"/>
  <c r="T271" i="5"/>
  <c r="S302" i="5"/>
  <c r="T5" i="5"/>
  <c r="C4" i="6" l="1"/>
  <c r="C9" i="6"/>
  <c r="C7" i="6"/>
  <c r="C11" i="6"/>
  <c r="B32" i="6"/>
  <c r="C12" i="6"/>
  <c r="E2409" i="5"/>
  <c r="X2409" i="5" s="1"/>
  <c r="I2116" i="5"/>
  <c r="R1774" i="5"/>
  <c r="R1140" i="5"/>
  <c r="H869" i="5"/>
  <c r="G869" i="5"/>
  <c r="E852" i="5"/>
  <c r="X852" i="5" s="1"/>
  <c r="R754" i="5"/>
  <c r="J439" i="5"/>
  <c r="J411" i="5"/>
  <c r="X87"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730" i="5"/>
  <c r="R87" i="5"/>
  <c r="J1842" i="5"/>
  <c r="H1696" i="5"/>
  <c r="E1317" i="5"/>
  <c r="X1317" i="5" s="1"/>
  <c r="J1086" i="5"/>
  <c r="I524" i="5"/>
  <c r="R439" i="5"/>
  <c r="G2342" i="5"/>
  <c r="B30" i="6"/>
  <c r="B41" i="6"/>
  <c r="G41" i="6" s="1"/>
  <c r="B31" i="6"/>
  <c r="G31" i="6" s="1"/>
  <c r="G644" i="5"/>
  <c r="X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X306"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X194" i="5"/>
  <c r="G2413" i="5"/>
  <c r="E2301" i="5"/>
  <c r="X2301" i="5" s="1"/>
  <c r="G1936" i="5"/>
  <c r="I1801" i="5"/>
  <c r="J1664" i="5"/>
  <c r="I1712" i="5"/>
  <c r="E1494" i="5"/>
  <c r="X1494" i="5" s="1"/>
  <c r="E1190" i="5"/>
  <c r="X1190" i="5" s="1"/>
  <c r="J1352" i="5"/>
  <c r="I1292" i="5"/>
  <c r="R875" i="5"/>
  <c r="G712" i="5"/>
  <c r="R738" i="5"/>
  <c r="E749" i="5"/>
  <c r="X749" i="5" s="1"/>
  <c r="I717" i="5"/>
  <c r="R718" i="5"/>
  <c r="F757" i="5"/>
  <c r="R207" i="5"/>
  <c r="X102"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X201" i="5"/>
  <c r="R71" i="5"/>
  <c r="F2381" i="5"/>
  <c r="E2405" i="5"/>
  <c r="X2405" i="5" s="1"/>
  <c r="J2386" i="5"/>
  <c r="R2180" i="5"/>
  <c r="H2160" i="5"/>
  <c r="F2100" i="5"/>
  <c r="R1952" i="5"/>
  <c r="H2035" i="5"/>
  <c r="F1867" i="5"/>
  <c r="R1786" i="5"/>
  <c r="R1131" i="5"/>
  <c r="R1304" i="5"/>
  <c r="I971" i="5"/>
  <c r="F1074" i="5"/>
  <c r="F971" i="5"/>
  <c r="I817" i="5"/>
  <c r="I330"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X215" i="5"/>
  <c r="R931" i="5"/>
  <c r="R1138" i="5"/>
  <c r="E867" i="5"/>
  <c r="X867" i="5" s="1"/>
  <c r="G891" i="5"/>
  <c r="G867" i="5"/>
  <c r="I679" i="5"/>
  <c r="J427" i="5"/>
  <c r="F2265" i="5"/>
  <c r="E2265" i="5"/>
  <c r="X2265" i="5" s="1"/>
  <c r="I2199" i="5"/>
  <c r="R2199" i="5"/>
  <c r="J2199" i="5"/>
  <c r="E1051" i="5"/>
  <c r="X1051" i="5" s="1"/>
  <c r="H1051" i="5"/>
  <c r="G1067" i="5"/>
  <c r="R578" i="5"/>
  <c r="F578" i="5"/>
  <c r="R306" i="5"/>
  <c r="G463" i="5"/>
  <c r="R243" i="5"/>
  <c r="X243" i="5"/>
  <c r="J1761" i="5"/>
  <c r="I1510" i="5"/>
  <c r="E1464" i="5"/>
  <c r="X1464" i="5" s="1"/>
  <c r="F1138" i="5"/>
  <c r="F891" i="5"/>
  <c r="H2265" i="5"/>
  <c r="F974" i="5"/>
  <c r="I2397" i="5"/>
  <c r="F2397" i="5"/>
  <c r="I2253" i="5"/>
  <c r="R2253" i="5"/>
  <c r="J2253" i="5"/>
  <c r="H2253" i="5"/>
  <c r="G2199" i="5"/>
  <c r="I2257" i="5"/>
  <c r="J2257" i="5"/>
  <c r="J1403" i="5"/>
  <c r="H1403" i="5"/>
  <c r="G1492" i="5"/>
  <c r="R191" i="5"/>
  <c r="X191" i="5"/>
  <c r="R103" i="5"/>
  <c r="R314" i="5"/>
  <c r="X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X239" i="5"/>
  <c r="I391" i="5"/>
  <c r="F391" i="5"/>
  <c r="F915" i="5"/>
  <c r="H712" i="5"/>
  <c r="H427" i="5"/>
  <c r="I2213" i="5"/>
  <c r="R2213" i="5"/>
  <c r="J2213" i="5"/>
  <c r="H2213" i="5"/>
  <c r="F2213" i="5"/>
  <c r="J2381" i="5"/>
  <c r="I2381" i="5"/>
  <c r="E2381" i="5"/>
  <c r="X2381" i="5" s="1"/>
  <c r="J1309" i="5"/>
  <c r="I1309" i="5"/>
  <c r="J1325" i="5"/>
  <c r="F1325" i="5"/>
  <c r="X43" i="5"/>
  <c r="R43" i="5"/>
  <c r="R91" i="5"/>
  <c r="X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X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X297"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X279" i="5"/>
  <c r="R279" i="5"/>
  <c r="R717" i="5"/>
  <c r="H717" i="5"/>
  <c r="R251" i="5"/>
  <c r="X251" i="5"/>
  <c r="R293" i="5"/>
  <c r="X293"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X261" i="5"/>
  <c r="R277" i="5"/>
  <c r="X277" i="5"/>
  <c r="E600" i="5"/>
  <c r="X600" i="5" s="1"/>
  <c r="R600" i="5"/>
  <c r="J600" i="5"/>
  <c r="F600" i="5"/>
  <c r="R151" i="5"/>
  <c r="X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R287" i="5"/>
  <c r="X287" i="5"/>
  <c r="G423" i="5"/>
  <c r="E435" i="5"/>
  <c r="X435" i="5" s="1"/>
  <c r="I435" i="5"/>
  <c r="F435" i="5"/>
  <c r="R211" i="5"/>
  <c r="X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X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X303" i="5"/>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X324" i="5"/>
  <c r="R324" i="5"/>
  <c r="X300" i="5"/>
  <c r="R300" i="5"/>
  <c r="X292" i="5"/>
  <c r="R292" i="5"/>
  <c r="X284" i="5"/>
  <c r="R284" i="5"/>
  <c r="X276" i="5"/>
  <c r="R276" i="5"/>
  <c r="X268" i="5"/>
  <c r="R268" i="5"/>
  <c r="X260" i="5"/>
  <c r="R260" i="5"/>
  <c r="X252" i="5"/>
  <c r="R252" i="5"/>
  <c r="X244" i="5"/>
  <c r="R244" i="5"/>
  <c r="X236" i="5"/>
  <c r="R236" i="5"/>
  <c r="X228" i="5"/>
  <c r="R228" i="5"/>
  <c r="R132" i="5"/>
  <c r="X132" i="5"/>
  <c r="R402" i="5"/>
  <c r="J402" i="5"/>
  <c r="I402" i="5"/>
  <c r="H402" i="5"/>
  <c r="F402" i="5"/>
  <c r="E402" i="5"/>
  <c r="X402" i="5" s="1"/>
  <c r="G355" i="5"/>
  <c r="X204" i="5"/>
  <c r="R204" i="5"/>
  <c r="R116" i="5"/>
  <c r="X116" i="5"/>
  <c r="R104" i="5"/>
  <c r="X104" i="5"/>
  <c r="D74" i="4"/>
  <c r="D37" i="4"/>
  <c r="D61" i="4"/>
  <c r="D43" i="4"/>
  <c r="D49" i="4"/>
  <c r="D31" i="4"/>
  <c r="D67" i="4"/>
  <c r="D55" i="4"/>
  <c r="A17" i="6"/>
  <c r="B35" i="4"/>
  <c r="A22" i="6" s="1"/>
  <c r="B46" i="6"/>
  <c r="G46" i="6" s="1"/>
  <c r="B26" i="6"/>
  <c r="G26" i="6" s="1"/>
  <c r="H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X184" i="5"/>
  <c r="R184" i="5"/>
  <c r="E328" i="5"/>
  <c r="X328" i="5" s="1"/>
  <c r="J328" i="5"/>
  <c r="F328" i="5"/>
  <c r="R328" i="5"/>
  <c r="I328" i="5"/>
  <c r="H328" i="5"/>
  <c r="X220" i="5"/>
  <c r="R220" i="5"/>
  <c r="R176" i="5"/>
  <c r="X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X216" i="5"/>
  <c r="R216" i="5"/>
  <c r="X120" i="5"/>
  <c r="R120" i="5"/>
  <c r="X140" i="5"/>
  <c r="R140" i="5"/>
  <c r="R192" i="5"/>
  <c r="X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X296" i="5"/>
  <c r="R296" i="5"/>
  <c r="X288" i="5"/>
  <c r="R288" i="5"/>
  <c r="X280" i="5"/>
  <c r="R280" i="5"/>
  <c r="X272" i="5"/>
  <c r="R272" i="5"/>
  <c r="X264" i="5"/>
  <c r="R264" i="5"/>
  <c r="X256" i="5"/>
  <c r="R256" i="5"/>
  <c r="X248" i="5"/>
  <c r="R248" i="5"/>
  <c r="X240" i="5"/>
  <c r="R240" i="5"/>
  <c r="X232" i="5"/>
  <c r="R232" i="5"/>
  <c r="X224" i="5"/>
  <c r="R224" i="5"/>
  <c r="R382" i="5"/>
  <c r="I382" i="5"/>
  <c r="H382" i="5"/>
  <c r="F382" i="5"/>
  <c r="J382" i="5"/>
  <c r="G382" i="5"/>
  <c r="E382" i="5"/>
  <c r="X382" i="5" s="1"/>
  <c r="E359" i="5"/>
  <c r="X359" i="5" s="1"/>
  <c r="R359" i="5"/>
  <c r="J359" i="5"/>
  <c r="H359" i="5"/>
  <c r="F359" i="5"/>
  <c r="I359" i="5"/>
  <c r="R196" i="5"/>
  <c r="X196" i="5"/>
  <c r="X208" i="5"/>
  <c r="R208" i="5"/>
  <c r="R144" i="5"/>
  <c r="X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R124" i="5"/>
  <c r="X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X316" i="5"/>
  <c r="R316" i="5"/>
  <c r="X172" i="5"/>
  <c r="R172" i="5"/>
  <c r="R160" i="5"/>
  <c r="X160" i="5"/>
  <c r="R180" i="5"/>
  <c r="X180" i="5"/>
  <c r="R200" i="5"/>
  <c r="X200" i="5"/>
  <c r="R156" i="5"/>
  <c r="X156" i="5"/>
  <c r="X308" i="5"/>
  <c r="R308" i="5"/>
  <c r="R100" i="5"/>
  <c r="X312" i="5"/>
  <c r="R312" i="5"/>
  <c r="R188" i="5"/>
  <c r="X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R148" i="5"/>
  <c r="X148"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R164" i="5"/>
  <c r="X164" i="5"/>
  <c r="E339" i="5"/>
  <c r="X339" i="5" s="1"/>
  <c r="R339" i="5"/>
  <c r="H339" i="5"/>
  <c r="F339" i="5"/>
  <c r="J339" i="5"/>
  <c r="I339" i="5"/>
  <c r="X152" i="5"/>
  <c r="R152" i="5"/>
  <c r="X212" i="5"/>
  <c r="R212" i="5"/>
  <c r="R168" i="5"/>
  <c r="X168"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R350" i="5"/>
  <c r="I350" i="5"/>
  <c r="H350" i="5"/>
  <c r="F350" i="5"/>
  <c r="J350" i="5"/>
  <c r="E350" i="5"/>
  <c r="X350" i="5" s="1"/>
  <c r="X108" i="5"/>
  <c r="R108" i="5"/>
  <c r="R128" i="5"/>
  <c r="X128" i="5"/>
  <c r="R136" i="5"/>
  <c r="X136" i="5"/>
  <c r="X320" i="5"/>
  <c r="R320" i="5"/>
  <c r="R112" i="5"/>
  <c r="X112" i="5"/>
  <c r="S5" i="5"/>
  <c r="S6" i="5"/>
  <c r="H46" i="6" l="1"/>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9" i="5"/>
  <c r="T8" i="5"/>
  <c r="T17" i="5"/>
  <c r="T16" i="5"/>
  <c r="T15" i="5"/>
  <c r="T7" i="5"/>
  <c r="T10" i="5"/>
  <c r="T13" i="5"/>
  <c r="T14" i="5"/>
  <c r="T12" i="5"/>
  <c r="T11" i="5"/>
  <c r="X13" i="5" l="1"/>
  <c r="X10" i="5"/>
  <c r="D65" i="6"/>
  <c r="X9" i="5"/>
  <c r="X12" i="5"/>
  <c r="X14" i="5"/>
  <c r="X17" i="5"/>
  <c r="D66" i="6"/>
  <c r="C67" i="6"/>
  <c r="X11" i="5"/>
  <c r="X15" i="5"/>
  <c r="X8" i="5"/>
  <c r="X7" i="5"/>
  <c r="G69" i="6"/>
  <c r="H69" i="6" s="1"/>
  <c r="H70" i="6" s="1"/>
  <c r="D2" i="6" s="1"/>
  <c r="X16" i="5"/>
  <c r="D55" i="6"/>
  <c r="C55" i="6"/>
  <c r="D56" i="6"/>
  <c r="C56" i="6"/>
  <c r="S16" i="5"/>
  <c r="S9" i="5"/>
  <c r="S7" i="5"/>
  <c r="S14" i="5"/>
  <c r="S10" i="5"/>
  <c r="S15" i="5"/>
  <c r="S12" i="5"/>
  <c r="S11" i="5"/>
  <c r="S17" i="5"/>
  <c r="S8" i="5"/>
  <c r="S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<sst xmlns="http://schemas.openxmlformats.org/spreadsheetml/2006/main" count="26656" uniqueCount="16625">
  <si>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</si>
  <si>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</si>
  <si>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</si>
  <si>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</si>
  <si>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</si>
  <si>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</si>
  <si>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</si>
  <si>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</si>
  <si>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</si>
  <si>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</si>
  <si>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</si>
  <si>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</si>
  <si>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</si>
  <si>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</si>
  <si>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</si>
  <si>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</si>
  <si>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</si>
  <si>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</si>
  <si>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</si>
  <si>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</si>
  <si>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</si>
  <si>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</si>
  <si>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</si>
  <si>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</si>
  <si>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</si>
  <si>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</si>
  <si>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</si>
  <si>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</si>
  <si>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</si>
  <si>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</si>
  <si>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</si>
  <si>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</si>
  <si>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</si>
  <si>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</si>
  <si>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</si>
  <si>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</si>
  <si>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</si>
  <si>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</si>
  <si>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</si>
  <si>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</si>
  <si>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</si>
  <si>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</si>
  <si>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</si>
  <si>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</si>
  <si>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</si>
  <si>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</si>
  <si>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</si>
  <si>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</si>
  <si>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</si>
  <si>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</si>
  <si>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</si>
  <si>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</si>
  <si>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</si>
  <si>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</si>
  <si>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</si>
  <si>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</si>
  <si>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</si>
  <si>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</si>
  <si>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</si>
  <si>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</si>
  <si>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</si>
  <si>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</si>
  <si>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</si>
  <si>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</si>
  <si>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</si>
  <si>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</si>
  <si>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</si>
  <si>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</si>
  <si>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</si>
  <si>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</si>
  <si>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</si>
  <si>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</si>
  <si>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</si>
  <si>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</si>
  <si>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</si>
  <si>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</si>
  <si>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</si>
  <si>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</si>
  <si>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</si>
  <si>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</si>
  <si>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</si>
  <si>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</si>
  <si>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</si>
  <si>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</si>
  <si>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</si>
  <si>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</si>
  <si>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</si>
  <si>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</si>
  <si>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</si>
  <si>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</si>
  <si>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</si>
  <si>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</si>
  <si>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</si>
  <si>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</si>
  <si>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</si>
  <si>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</si>
  <si>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</si>
  <si>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</si>
  <si>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</si>
  <si>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</si>
  <si>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</si>
  <si>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</si>
  <si>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</si>
  <si>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</si>
  <si>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</si>
  <si>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</si>
  <si>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</si>
  <si>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</si>
  <si>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</si>
  <si>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</si>
  <si>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</si>
  <si>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</si>
  <si>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</si>
  <si>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</si>
  <si>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</si>
  <si>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</si>
  <si>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</si>
  <si>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</si>
  <si>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</si>
  <si>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</si>
  <si>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</si>
  <si>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</si>
  <si>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</si>
  <si>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</si>
  <si>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</si>
  <si>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</si>
  <si>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</si>
  <si>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</si>
  <si>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</si>
  <si>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</si>
  <si>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</si>
  <si>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</si>
  <si>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</si>
  <si>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</si>
  <si>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</si>
  <si>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</si>
  <si>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</si>
  <si>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</si>
  <si>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</si>
  <si>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</si>
  <si>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</si>
  <si>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</si>
  <si>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</si>
  <si>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</si>
  <si>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</si>
  <si>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</si>
  <si>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</si>
  <si>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</si>
  <si>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</si>
  <si>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</si>
  <si>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</si>
  <si>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</si>
  <si>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</si>
  <si>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</si>
  <si>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</si>
  <si>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</si>
  <si>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</si>
  <si>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</si>
  <si>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</si>
  <si>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</si>
  <si>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</si>
  <si>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</si>
  <si>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</si>
  <si>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</si>
  <si>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</si>
  <si>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</si>
  <si>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</si>
  <si>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</si>
  <si>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</si>
  <si>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</si>
  <si>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</si>
  <si>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</si>
  <si>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</si>
  <si>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</si>
  <si>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</si>
  <si>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</si>
  <si>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</si>
  <si>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</si>
  <si>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</si>
  <si>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</si>
  <si>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</si>
  <si>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</si>
  <si>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</si>
  <si>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</si>
  <si>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</si>
  <si>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</si>
  <si>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</si>
  <si>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</si>
  <si>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</si>
  <si>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</si>
  <si>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</si>
  <si>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</si>
  <si>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</si>
  <si>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</si>
  <si>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</si>
  <si>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</si>
  <si>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</si>
  <si>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</si>
  <si>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</si>
  <si>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</si>
  <si>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</si>
  <si>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</si>
  <si>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</si>
  <si>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</si>
  <si>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</si>
  <si>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</si>
  <si>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</si>
  <si>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</si>
  <si>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</si>
  <si>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</si>
  <si>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</si>
  <si>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</si>
  <si>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</si>
  <si>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</si>
  <si>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</si>
  <si>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</si>
  <si>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</si>
  <si>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</si>
  <si>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</si>
  <si>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</si>
  <si>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</si>
  <si>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</si>
  <si>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</si>
  <si>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</si>
  <si>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</si>
  <si>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</si>
  <si>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</si>
  <si>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</si>
  <si>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</si>
  <si>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</si>
  <si>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</si>
  <si>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</si>
  <si>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</si>
  <si>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</si>
  <si>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</si>
  <si>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</si>
  <si>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</si>
  <si>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</si>
  <si>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</si>
  <si>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</si>
  <si>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</si>
  <si>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</si>
  <si>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</si>
  <si>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</si>
  <si>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</si>
  <si>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</si>
  <si>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</si>
  <si>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</si>
  <si>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</si>
  <si>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</si>
  <si>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</si>
  <si>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</si>
  <si>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</si>
  <si>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</si>
  <si>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</si>
  <si>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</si>
  <si>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</si>
  <si>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</si>
  <si>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</si>
  <si>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</si>
  <si>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</si>
  <si>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</si>
  <si>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</si>
  <si>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</si>
  <si>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</si>
  <si>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</si>
  <si>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</si>
  <si>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</si>
  <si>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</si>
  <si>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</si>
  <si>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</si>
  <si>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</si>
  <si>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</si>
  <si>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</si>
  <si>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</si>
  <si>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</si>
  <si>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</si>
  <si>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</si>
  <si>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</si>
  <si>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</si>
  <si>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</si>
  <si>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</si>
  <si>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</si>
  <si>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</si>
  <si>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</si>
  <si>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</si>
  <si>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</si>
  <si>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</si>
  <si>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</si>
  <si>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</si>
  <si>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</si>
  <si>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</si>
  <si>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</si>
  <si>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</si>
  <si>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</si>
  <si>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</si>
  <si>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</si>
  <si>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</si>
  <si>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</si>
  <si>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</si>
  <si>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</si>
  <si>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</si>
  <si>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</si>
  <si>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</si>
  <si>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</si>
  <si>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</si>
  <si>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</si>
  <si>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</si>
  <si>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</si>
  <si>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</si>
  <si>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</si>
  <si>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</si>
  <si>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</si>
  <si>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</si>
  <si>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</si>
  <si>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</si>
  <si>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</si>
  <si>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</si>
  <si>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</si>
  <si>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</si>
  <si>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</si>
  <si>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</si>
  <si>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</si>
  <si>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</si>
  <si>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</si>
  <si>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</si>
  <si>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</si>
  <si>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</si>
  <si>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</si>
  <si>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</si>
  <si>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</si>
  <si>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</si>
  <si>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</si>
  <si>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</si>
  <si>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</si>
  <si>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</si>
  <si>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</si>
  <si>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</si>
  <si>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</si>
  <si>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</si>
  <si>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</si>
  <si>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</si>
  <si>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</si>
  <si>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</si>
  <si>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</si>
  <si>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</si>
  <si>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</si>
  <si>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</si>
  <si>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</si>
  <si>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</si>
  <si>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</si>
  <si>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</si>
  <si>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</si>
  <si>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</si>
  <si>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</si>
  <si>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</si>
  <si>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</si>
  <si>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</si>
  <si>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</si>
  <si>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</si>
  <si>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</si>
  <si>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</si>
  <si>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</si>
  <si>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</si>
  <si>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</si>
  <si>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</si>
  <si>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</si>
  <si>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</si>
  <si>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</si>
  <si>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</si>
  <si>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</si>
  <si>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</si>
  <si>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</si>
  <si>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</si>
  <si>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</si>
  <si>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</si>
  <si>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</si>
  <si>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</si>
  <si>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</si>
  <si>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</si>
  <si>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</si>
  <si>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</si>
  <si>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</si>
  <si>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</si>
  <si>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</si>
  <si>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</si>
  <si>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</si>
  <si>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</si>
  <si>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</si>
  <si>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</si>
  <si>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</si>
  <si>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</si>
  <si>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</si>
  <si>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</si>
  <si>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</si>
  <si>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</si>
  <si>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</si>
  <si>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</si>
  <si>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</si>
  <si>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</si>
  <si>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</si>
  <si>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</si>
  <si>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</si>
  <si>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</si>
  <si>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</si>
  <si>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</si>
  <si>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</si>
  <si>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</si>
  <si>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</si>
  <si>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</si>
  <si>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</si>
  <si>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</si>
  <si>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</si>
  <si>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</si>
  <si>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</si>
  <si>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</si>
  <si>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</si>
  <si>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</si>
  <si>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</si>
  <si>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</si>
  <si>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</si>
  <si>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</si>
  <si>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</si>
  <si>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</si>
  <si>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</si>
  <si>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</si>
  <si>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</si>
  <si>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</si>
  <si>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</si>
  <si>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</si>
  <si>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</si>
  <si>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</si>
  <si>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</si>
  <si>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</si>
  <si>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</si>
  <si>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</si>
  <si>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</si>
  <si>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</si>
  <si>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</si>
  <si>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</si>
  <si>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</si>
  <si>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</si>
  <si>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</si>
  <si>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</si>
  <si>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</si>
  <si>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</si>
  <si>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</si>
  <si>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</si>
  <si>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</si>
  <si>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</si>
  <si>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</si>
  <si>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</si>
  <si>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</si>
  <si>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</si>
  <si>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</si>
  <si>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</si>
  <si>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</si>
  <si>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</si>
  <si>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</si>
  <si>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</si>
  <si>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</si>
  <si>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</si>
  <si>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</si>
  <si>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</si>
  <si>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</si>
  <si>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</si>
  <si>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</si>
  <si>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</si>
  <si>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</si>
  <si>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</si>
  <si>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</si>
  <si>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</si>
  <si>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</si>
  <si>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</si>
  <si>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</si>
  <si>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</si>
  <si>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</si>
  <si>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</si>
  <si>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</si>
  <si>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</si>
  <si>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</si>
  <si>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</si>
  <si>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</si>
  <si>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</si>
  <si>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</si>
  <si>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</si>
  <si>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</si>
  <si>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</si>
  <si>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</si>
  <si>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</si>
  <si>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</si>
  <si>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</si>
  <si>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</si>
  <si>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</si>
  <si>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</si>
  <si>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</si>
  <si>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</si>
  <si>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</si>
  <si>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</si>
  <si>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</si>
  <si>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</si>
  <si>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</si>
  <si>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</si>
  <si>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</si>
  <si>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</si>
  <si>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</si>
  <si>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</si>
  <si>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</si>
  <si>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</si>
  <si>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</si>
  <si>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</si>
  <si>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</si>
  <si>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</si>
  <si>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</si>
  <si>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</si>
  <si>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</si>
  <si>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</si>
  <si>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</si>
  <si>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</si>
  <si>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</si>
  <si>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</si>
  <si>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</si>
  <si>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</si>
  <si>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</si>
  <si>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</si>
  <si>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</si>
  <si>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</si>
  <si>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</si>
  <si>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</si>
  <si>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</si>
  <si>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</si>
  <si>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</si>
  <si>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</si>
  <si>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</si>
  <si>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</si>
  <si>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</si>
  <si>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</si>
  <si>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</si>
  <si>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</si>
  <si>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</si>
  <si>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</si>
  <si>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</si>
  <si>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</si>
  <si>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</si>
  <si>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</si>
  <si>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</si>
  <si>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</si>
  <si>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</si>
  <si>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</si>
  <si>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</si>
  <si>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</si>
  <si>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</si>
  <si>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</si>
  <si>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</si>
  <si>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</si>
  <si>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</si>
  <si>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</si>
  <si>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</si>
  <si>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</si>
  <si>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</si>
  <si>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</si>
  <si>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</si>
  <si>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</si>
  <si>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</si>
  <si>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</si>
  <si>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</si>
  <si>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</si>
  <si>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</si>
  <si>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</si>
  <si>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</si>
  <si>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</si>
  <si>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</si>
  <si>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</si>
  <si>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</si>
  <si>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</si>
  <si>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</si>
  <si>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</si>
  <si>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</si>
  <si>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</si>
  <si>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</si>
  <si>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</si>
  <si>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</si>
  <si>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</si>
  <si>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</si>
  <si>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</si>
  <si>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</si>
  <si>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</si>
  <si>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</si>
  <si>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</si>
  <si>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</si>
  <si>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</si>
  <si>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</si>
  <si>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</si>
  <si>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</si>
  <si>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</si>
  <si>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</si>
  <si>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</si>
  <si>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</si>
  <si>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</si>
  <si>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</si>
  <si>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</si>
  <si>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</si>
  <si>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</si>
  <si>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</si>
  <si>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</si>
  <si>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</si>
  <si>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</si>
  <si>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</si>
  <si>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</si>
  <si>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</si>
  <si>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</si>
  <si>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</si>
  <si>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</si>
  <si>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</si>
  <si>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</si>
  <si>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</si>
  <si>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</si>
  <si>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</si>
  <si>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</si>
  <si>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</si>
  <si>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</si>
  <si>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</si>
  <si>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</si>
  <si>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</si>
  <si>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</si>
  <si>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</si>
  <si>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</si>
  <si>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</si>
  <si>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</si>
  <si>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</si>
  <si>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</si>
  <si>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</si>
  <si>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</si>
  <si>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</si>
  <si>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</si>
  <si>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</si>
  <si>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</si>
  <si>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</si>
  <si>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</si>
  <si>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</si>
  <si>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</si>
  <si>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</si>
  <si>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</si>
  <si>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</si>
  <si>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</si>
  <si>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</si>
  <si>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</si>
  <si>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</si>
  <si>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</si>
  <si>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</si>
  <si>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</si>
  <si>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</si>
  <si>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</si>
  <si>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</si>
  <si>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</si>
  <si>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</si>
  <si>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</si>
  <si>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</si>
  <si>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</si>
  <si>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</si>
  <si>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</si>
  <si>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</si>
  <si>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</si>
  <si>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</si>
  <si>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</si>
  <si>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</si>
  <si>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</si>
  <si>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</si>
  <si>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</si>
  <si>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</si>
  <si>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</si>
  <si>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</si>
  <si>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</si>
  <si>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</si>
  <si>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</si>
  <si>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</si>
  <si>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</si>
  <si>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</si>
  <si>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</si>
  <si>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</si>
  <si>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</si>
  <si>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</si>
  <si>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</si>
  <si>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</si>
  <si>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</si>
  <si>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</si>
  <si>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</si>
  <si>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</si>
  <si>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</si>
  <si>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</si>
  <si>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</si>
  <si>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</si>
  <si>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</si>
  <si>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</si>
  <si>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</si>
  <si>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</si>
  <si>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</si>
  <si>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</si>
  <si>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</si>
  <si>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</si>
  <si>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</si>
  <si>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</si>
  <si>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</si>
  <si>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</si>
  <si>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</si>
  <si>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</si>
  <si>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</si>
  <si>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</si>
  <si>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</si>
  <si>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</si>
  <si>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</si>
  <si>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</si>
  <si>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</si>
  <si>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</si>
  <si>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</si>
  <si>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</si>
  <si>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</si>
  <si>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</si>
  <si>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</si>
  <si>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</si>
  <si>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</si>
  <si>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</si>
  <si>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</si>
  <si>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</si>
  <si>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</si>
  <si>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</si>
  <si>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</si>
  <si>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</si>
  <si>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</si>
  <si>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</si>
  <si>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</si>
  <si>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</si>
  <si>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</si>
  <si>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</si>
  <si>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</si>
  <si>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</si>
  <si>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</si>
  <si>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</si>
  <si>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</si>
  <si>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</si>
  <si>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</si>
  <si>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</si>
  <si>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</si>
  <si>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</si>
  <si>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</si>
  <si>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</si>
  <si>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</si>
  <si>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</si>
  <si>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</si>
  <si>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</si>
  <si>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</si>
  <si>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</si>
  <si>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</si>
  <si>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</si>
  <si>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</si>
  <si>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</si>
  <si>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</si>
  <si>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</si>
  <si>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</si>
  <si>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</si>
  <si>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</si>
  <si>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</si>
  <si>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</si>
  <si>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</si>
  <si>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</si>
  <si>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</si>
  <si>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</si>
  <si>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</si>
  <si>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</si>
  <si>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</si>
  <si>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</si>
  <si>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</si>
  <si>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</si>
  <si>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</si>
  <si>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</si>
  <si>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</si>
  <si>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</si>
  <si>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</si>
  <si>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</si>
  <si>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</si>
  <si>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</si>
  <si>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</si>
  <si>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</si>
  <si>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</si>
  <si>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</si>
  <si>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</si>
  <si>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</si>
  <si>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</si>
  <si>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</si>
  <si>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</si>
  <si>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</si>
  <si>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</si>
  <si>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</si>
  <si>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</si>
  <si>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</si>
  <si>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</si>
  <si>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</si>
  <si>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</si>
  <si>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</si>
  <si>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</si>
  <si>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</si>
  <si>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</si>
  <si>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</si>
  <si>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</si>
  <si>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</si>
  <si>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</si>
  <si>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</si>
  <si>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</si>
  <si>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</si>
  <si>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</si>
  <si>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</si>
  <si>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</si>
  <si>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</si>
  <si>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</si>
  <si>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</si>
  <si>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</si>
  <si>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</si>
  <si>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</si>
  <si>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</si>
  <si>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</si>
  <si>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</si>
  <si>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</si>
  <si>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</si>
  <si>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</si>
  <si>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</si>
  <si>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</si>
  <si>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</si>
  <si>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</si>
  <si>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</si>
  <si>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</si>
  <si>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</si>
  <si>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</si>
  <si>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</si>
  <si>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</si>
  <si>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</si>
  <si>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</si>
  <si>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</si>
  <si>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</si>
  <si>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</si>
  <si>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</si>
  <si>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</si>
  <si>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</si>
  <si>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</si>
  <si>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</si>
  <si>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</si>
  <si>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</si>
  <si>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</si>
  <si>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</si>
  <si>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</si>
  <si>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</si>
  <si>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</si>
  <si>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</si>
  <si>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</si>
  <si>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</si>
  <si>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</si>
  <si>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</si>
  <si>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</si>
  <si>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</si>
  <si>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</si>
  <si>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</si>
  <si>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</si>
  <si>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</si>
  <si>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</si>
  <si>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</si>
  <si>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</si>
  <si>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</si>
  <si>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</si>
  <si>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</si>
  <si>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</si>
  <si>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</si>
  <si>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</si>
  <si>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</si>
  <si>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</si>
  <si>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</si>
  <si>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</si>
  <si>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</si>
  <si>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</si>
  <si>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</si>
  <si>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</si>
  <si>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</si>
  <si>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</si>
  <si>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</si>
  <si>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</si>
  <si>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</si>
  <si>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</si>
  <si>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</si>
  <si>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</si>
  <si>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</si>
  <si>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</si>
  <si>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</si>
  <si>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</si>
  <si>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</si>
  <si>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</si>
  <si>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</si>
  <si>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</si>
  <si>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</si>
  <si>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</si>
  <si>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</si>
  <si>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</si>
  <si>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</si>
  <si>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</si>
  <si>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</si>
  <si>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</si>
  <si>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</si>
  <si>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</si>
  <si>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</si>
  <si>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</si>
  <si>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</si>
  <si>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</si>
  <si>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</si>
  <si>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</si>
  <si>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</si>
  <si>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</si>
  <si>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</si>
  <si>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</si>
  <si>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</si>
  <si>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</si>
  <si>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</si>
  <si>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</si>
  <si>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</si>
  <si>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</si>
  <si>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</si>
  <si>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</si>
  <si>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</si>
  <si>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</si>
  <si>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</si>
  <si>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</si>
  <si>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</si>
  <si>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</si>
  <si>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</si>
  <si>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</si>
  <si>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</si>
  <si>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</si>
  <si>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</si>
  <si>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</si>
  <si>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</si>
  <si>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</si>
  <si>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</si>
  <si>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</si>
  <si>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</si>
  <si>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</si>
  <si>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</si>
  <si>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</si>
  <si>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</si>
  <si>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</si>
  <si>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</si>
  <si>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</si>
  <si>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</si>
  <si>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</si>
  <si>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</si>
  <si>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</si>
  <si>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</si>
  <si>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</si>
  <si>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</si>
  <si>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</si>
  <si>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</si>
  <si>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</si>
  <si>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</si>
  <si>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</si>
  <si>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</si>
  <si>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</si>
  <si>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</si>
  <si>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</si>
  <si>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</si>
  <si>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</si>
  <si>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</si>
  <si>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</si>
  <si>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</si>
  <si>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</si>
  <si>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</si>
  <si>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</si>
  <si>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</si>
  <si>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</si>
  <si>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</si>
  <si>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</si>
  <si>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</si>
  <si>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</si>
  <si>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</si>
  <si>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</si>
  <si>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</si>
  <si>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</si>
  <si>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</si>
  <si>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</si>
  <si>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</si>
  <si>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</si>
  <si>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</si>
  <si>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</si>
  <si>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</si>
  <si>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</si>
  <si>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</si>
  <si>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</si>
  <si>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</si>
  <si>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</si>
  <si>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</si>
  <si>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</si>
  <si>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</si>
  <si>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</si>
  <si>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</si>
  <si>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</si>
  <si>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</si>
  <si>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</si>
  <si>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</si>
  <si>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</si>
  <si>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</si>
  <si>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</si>
  <si>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</si>
  <si>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</si>
  <si>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</si>
  <si>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</si>
  <si>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</si>
  <si>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</si>
  <si>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</si>
  <si>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</si>
  <si>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</si>
  <si>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</si>
  <si>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</si>
  <si>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</si>
  <si>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</si>
  <si>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</si>
  <si>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</si>
  <si>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</si>
  <si>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</si>
  <si>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</si>
  <si>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</si>
  <si>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</si>
  <si>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</si>
  <si>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</si>
  <si>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</si>
  <si>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</si>
  <si>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</si>
  <si>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</si>
  <si>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</si>
  <si>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</si>
  <si>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</si>
  <si>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</si>
  <si>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</si>
  <si>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</si>
  <si>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</si>
  <si>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</si>
  <si>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</si>
  <si>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</si>
  <si>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</si>
  <si>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</si>
  <si>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</si>
  <si>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</si>
  <si>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</si>
  <si>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</si>
  <si>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</si>
  <si>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</si>
  <si>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</si>
  <si>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</si>
  <si>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</si>
  <si>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</si>
  <si>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</si>
  <si>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</si>
  <si>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</si>
  <si>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</si>
  <si>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</si>
  <si>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</si>
  <si>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</si>
  <si>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</si>
  <si>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</si>
  <si>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</si>
  <si>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</si>
  <si>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</si>
  <si>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</si>
  <si>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</si>
  <si>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</si>
  <si>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</si>
  <si>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</si>
  <si>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</si>
  <si>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</si>
  <si>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</si>
  <si>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</si>
  <si>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</si>
  <si>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</si>
  <si>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</si>
  <si>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</si>
  <si>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</si>
  <si>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</si>
  <si>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</si>
  <si>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</si>
  <si>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</si>
  <si>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</si>
  <si>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</si>
  <si>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</si>
  <si>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</si>
  <si>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</si>
  <si>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</si>
  <si>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</si>
  <si>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</si>
  <si>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</si>
  <si>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</si>
  <si>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</si>
  <si>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</si>
  <si>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</si>
  <si>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</si>
  <si>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</si>
  <si>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</si>
  <si>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</si>
  <si>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</si>
  <si>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</si>
  <si>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</si>
  <si>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</si>
  <si>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</si>
  <si>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</si>
  <si>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</si>
  <si>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</si>
  <si>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</si>
  <si>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</si>
  <si>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</si>
  <si>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</si>
  <si>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</si>
  <si>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</si>
  <si>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</si>
  <si>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</si>
  <si>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</si>
  <si>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</si>
  <si>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</si>
  <si>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</si>
  <si>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</si>
  <si>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</si>
  <si>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</si>
  <si>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</si>
  <si>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</si>
  <si>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</si>
  <si>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</si>
  <si>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</si>
  <si>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</si>
  <si>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</si>
  <si>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</si>
  <si>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</si>
  <si>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</si>
  <si>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</si>
  <si>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</si>
  <si>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</si>
  <si>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</si>
  <si>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</si>
  <si>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</si>
  <si>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</si>
  <si>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</si>
  <si>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</si>
  <si>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</si>
  <si>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</si>
  <si>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</si>
  <si>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</si>
  <si>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</si>
  <si>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</si>
  <si>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</si>
  <si>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</si>
  <si>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</si>
  <si>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</si>
  <si>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</si>
  <si>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</si>
  <si>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</si>
  <si>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</si>
  <si>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</si>
  <si>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</si>
  <si>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</si>
  <si>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</si>
  <si>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</si>
  <si>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</si>
  <si>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</si>
  <si>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</si>
  <si>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</si>
  <si>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</si>
  <si>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</si>
  <si>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</si>
  <si>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</si>
  <si>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</si>
  <si>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</si>
  <si>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</si>
  <si>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</si>
  <si>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</si>
  <si>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</si>
  <si>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</si>
  <si>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</si>
  <si>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</si>
  <si>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</si>
  <si>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</si>
  <si>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</si>
  <si>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</si>
  <si>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</si>
  <si>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</si>
  <si>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</si>
  <si>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</si>
  <si>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</si>
  <si>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</si>
  <si>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</si>
  <si>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</si>
  <si>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</si>
  <si>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</si>
  <si>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</si>
  <si>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</si>
  <si>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</si>
  <si>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</si>
  <si>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</si>
  <si>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</si>
  <si>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</si>
  <si>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</si>
  <si>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</si>
  <si>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</si>
  <si>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</si>
  <si>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</si>
  <si>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</si>
  <si>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</si>
  <si>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</si>
  <si>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</si>
  <si>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</si>
  <si>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</si>
  <si>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</si>
  <si>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</si>
  <si>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</si>
  <si>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</si>
  <si>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</si>
  <si>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</si>
  <si>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</si>
  <si>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</si>
  <si>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</si>
  <si>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</si>
  <si>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</si>
  <si>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</si>
  <si>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</si>
  <si>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</si>
  <si>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</si>
  <si>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</si>
  <si>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</si>
  <si>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</si>
  <si>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</si>
  <si>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</si>
  <si>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</si>
  <si>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</si>
  <si>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</si>
  <si>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</si>
  <si>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</si>
  <si>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</si>
  <si>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</si>
  <si>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</si>
  <si>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</si>
  <si>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</si>
  <si>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</si>
  <si>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</si>
  <si>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</si>
  <si>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</si>
  <si>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</si>
  <si>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</si>
  <si>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</si>
  <si>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</si>
  <si>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</si>
  <si>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</si>
  <si>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</si>
  <si>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</si>
  <si>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</si>
  <si>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</si>
  <si>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</si>
  <si>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</si>
  <si>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</si>
  <si>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</si>
  <si>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</si>
  <si>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</si>
  <si>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</si>
  <si>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</si>
  <si>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</si>
  <si>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</si>
  <si>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</si>
  <si>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</si>
  <si>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</si>
  <si>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</si>
  <si>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</si>
  <si>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</si>
  <si>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</si>
  <si>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</si>
  <si>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</si>
  <si>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</si>
  <si>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</si>
  <si>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</si>
  <si>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</si>
  <si>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</si>
  <si>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</si>
  <si>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</si>
  <si>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</si>
  <si>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</si>
  <si>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</si>
  <si>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</si>
  <si>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</si>
  <si>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</si>
  <si>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</si>
  <si>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</si>
  <si>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</si>
  <si>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</si>
  <si>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</si>
  <si>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</si>
  <si>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</si>
  <si>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</si>
  <si>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</si>
  <si>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</si>
  <si>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</si>
  <si>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</si>
  <si>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</si>
  <si>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</si>
  <si>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</si>
  <si>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</si>
  <si>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</si>
  <si>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</si>
  <si>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</si>
  <si>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</si>
  <si>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</si>
  <si>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</si>
  <si>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</si>
  <si>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</si>
  <si>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</si>
  <si>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</si>
  <si>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</si>
  <si>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</si>
  <si>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</si>
  <si>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</si>
  <si>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</si>
  <si>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</si>
  <si>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</si>
  <si>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</si>
  <si>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</si>
  <si>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</si>
  <si>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</si>
  <si>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</si>
  <si>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</si>
  <si>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</si>
  <si>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</si>
  <si>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</si>
  <si>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</si>
  <si>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</si>
  <si>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</si>
  <si>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</si>
  <si>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</si>
  <si>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</si>
  <si>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</si>
  <si>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</si>
  <si>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</si>
  <si>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</si>
  <si>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</si>
  <si>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</si>
  <si>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</si>
  <si>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</si>
  <si>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</si>
  <si>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</si>
  <si>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</si>
  <si>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</si>
  <si>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</si>
  <si>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</si>
  <si>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</si>
  <si>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</si>
  <si>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</si>
  <si>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</si>
  <si>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</si>
  <si>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</si>
  <si>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</si>
  <si>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</si>
  <si>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</si>
  <si>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</si>
  <si>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</si>
  <si>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</si>
  <si>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</si>
  <si>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</si>
  <si>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</si>
  <si>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</si>
  <si>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</si>
  <si>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</si>
  <si>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</si>
  <si>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</si>
  <si>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</si>
  <si>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</si>
  <si>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</si>
  <si>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</si>
  <si>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</si>
  <si>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</si>
  <si>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</si>
  <si>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</si>
  <si>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</si>
  <si>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</si>
  <si>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</si>
  <si>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</si>
  <si>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</si>
  <si>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</si>
  <si>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</si>
  <si>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</si>
  <si>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</si>
  <si>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</si>
  <si>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</si>
  <si>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</si>
  <si>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</si>
  <si>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</si>
  <si>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</si>
  <si>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</si>
  <si>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</si>
  <si>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</si>
  <si>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</si>
  <si>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</si>
  <si>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</si>
  <si>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</si>
  <si>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</si>
  <si>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</si>
  <si>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</si>
  <si>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</si>
  <si>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</si>
  <si>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</si>
  <si>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</si>
  <si>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</si>
  <si>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</si>
  <si>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</si>
  <si>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</si>
  <si>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</si>
  <si>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</si>
  <si>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</si>
  <si>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</si>
  <si>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</si>
  <si>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</si>
  <si>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</si>
  <si>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</si>
  <si>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</si>
  <si>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</si>
  <si>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</si>
  <si>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</si>
  <si>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</si>
  <si>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</si>
  <si>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</si>
  <si>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</si>
  <si>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</si>
  <si>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</si>
  <si>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</si>
  <si>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</si>
  <si>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</si>
  <si>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</si>
  <si>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</si>
  <si>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</si>
  <si>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</si>
  <si>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</si>
  <si>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</si>
  <si>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</si>
  <si>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</si>
  <si>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</si>
  <si>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</si>
  <si>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</si>
  <si>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</si>
  <si>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</si>
  <si>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</si>
  <si>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</si>
  <si>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</si>
  <si>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</si>
  <si>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</si>
  <si>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</si>
  <si>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</si>
  <si>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</si>
  <si>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</si>
  <si>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</si>
  <si>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</si>
  <si>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</si>
  <si>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</si>
  <si>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</si>
  <si>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</si>
  <si>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</si>
  <si>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</si>
  <si>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</si>
  <si>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</si>
  <si>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</si>
  <si>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</si>
  <si>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</si>
  <si>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</si>
  <si>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</si>
  <si>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</si>
  <si>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</si>
  <si>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</si>
  <si>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</si>
  <si>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</si>
  <si>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</si>
  <si>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</si>
  <si>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</si>
  <si>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</si>
  <si>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</si>
  <si>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</si>
  <si>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</si>
  <si>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</si>
  <si>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</si>
  <si>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</si>
  <si>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</si>
  <si>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</si>
  <si>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</si>
  <si>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</si>
  <si>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</si>
  <si>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</si>
  <si>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</si>
  <si>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</si>
  <si>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</si>
  <si>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</si>
  <si>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</si>
  <si>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</si>
  <si>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</si>
  <si>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</si>
  <si>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</si>
  <si>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</si>
  <si>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</si>
  <si>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</si>
  <si>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</si>
  <si>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</si>
  <si>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</si>
  <si>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</si>
  <si>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</si>
  <si>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</si>
  <si>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</si>
  <si>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</si>
  <si>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</si>
  <si>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</si>
  <si>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</si>
  <si>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</si>
  <si>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</si>
  <si>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</si>
  <si>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</si>
  <si>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</si>
  <si>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</si>
  <si>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</si>
  <si>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</si>
  <si>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</si>
  <si>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</si>
  <si>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</si>
  <si>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</si>
  <si>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</si>
  <si>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</si>
  <si>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</si>
  <si>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</si>
  <si>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</si>
  <si>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</si>
  <si>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</si>
  <si>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</si>
  <si>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</si>
  <si>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</si>
  <si>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</si>
  <si>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</si>
  <si>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</si>
  <si>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</si>
  <si>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</si>
  <si>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</si>
  <si>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</si>
  <si>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</si>
  <si>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</si>
  <si>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</si>
  <si>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</si>
  <si>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</si>
  <si>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</si>
  <si>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</si>
  <si>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</si>
  <si>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</si>
  <si>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</si>
  <si>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</si>
  <si>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</si>
  <si>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</si>
  <si>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</si>
  <si>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</si>
  <si>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</si>
  <si>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</si>
  <si>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</si>
  <si>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</si>
  <si>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</si>
  <si>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</si>
  <si>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</si>
  <si>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</si>
  <si>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</si>
  <si>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</si>
  <si>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</si>
  <si>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</si>
  <si>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</si>
  <si>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</si>
  <si>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</si>
  <si>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</si>
  <si>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</si>
  <si>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</si>
  <si>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</si>
  <si>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</si>
  <si>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</si>
  <si>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</si>
  <si>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</si>
  <si>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</si>
  <si>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</si>
  <si>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</si>
  <si>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</si>
  <si>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</si>
  <si>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</si>
  <si>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</si>
  <si>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</si>
  <si>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</si>
  <si>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</si>
  <si>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</si>
  <si>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</si>
  <si>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</si>
  <si>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</si>
  <si>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</si>
  <si>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</si>
  <si>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</si>
  <si>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</si>
  <si>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</si>
  <si>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</si>
  <si>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</si>
  <si>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</si>
  <si>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</si>
  <si>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</si>
  <si>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</si>
  <si>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</si>
  <si>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</si>
  <si>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</si>
  <si>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</si>
  <si>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</si>
  <si>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</si>
  <si>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</si>
  <si>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</si>
  <si>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</si>
  <si>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</si>
  <si>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</si>
  <si>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</si>
  <si>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</si>
  <si>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</si>
  <si>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</si>
  <si>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</si>
  <si>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</si>
  <si>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</si>
  <si>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</si>
  <si>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</si>
  <si>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</si>
  <si>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</si>
  <si>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</si>
  <si>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</si>
  <si>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</si>
  <si>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</si>
  <si>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</si>
  <si>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</si>
  <si>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</si>
  <si>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</si>
  <si>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</si>
  <si>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</si>
  <si>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</si>
  <si>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</si>
  <si>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</si>
  <si>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</si>
  <si>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</si>
  <si>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</si>
  <si>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</si>
  <si>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</si>
  <si>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</si>
  <si>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</si>
  <si>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</si>
  <si>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</si>
  <si>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</si>
  <si>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</si>
  <si>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</si>
  <si>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</si>
  <si>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</si>
  <si>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</si>
  <si>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</si>
  <si>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</si>
  <si>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</si>
  <si>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</si>
  <si>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</si>
  <si>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</si>
  <si>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</si>
  <si>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</si>
  <si>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</si>
  <si>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</si>
  <si>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</si>
  <si>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</si>
  <si>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</si>
  <si>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</si>
  <si>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</si>
  <si>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</si>
  <si>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</si>
  <si>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</si>
  <si>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</si>
  <si>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</si>
  <si>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</si>
  <si>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</si>
  <si>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</si>
  <si>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</si>
  <si>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</si>
  <si>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</si>
  <si>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</si>
  <si>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</si>
  <si>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</si>
  <si>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</si>
  <si>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</si>
  <si>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</si>
  <si>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</si>
  <si>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</si>
  <si>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</si>
  <si>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</si>
  <si>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</si>
  <si>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</si>
  <si>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</si>
  <si>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</si>
  <si>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</si>
  <si>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</si>
  <si>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</si>
  <si>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</si>
  <si>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</si>
  <si>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</si>
  <si>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</si>
  <si>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</si>
  <si>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</si>
  <si>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</si>
  <si>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</si>
  <si>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</si>
  <si>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</si>
  <si>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</si>
  <si>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</si>
  <si>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</si>
  <si>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</si>
  <si>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</si>
  <si>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</si>
  <si>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</si>
  <si>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</si>
  <si>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</si>
  <si>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</si>
  <si>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</si>
  <si>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</si>
  <si>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</si>
  <si>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</si>
  <si>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</si>
  <si>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</si>
  <si>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</si>
  <si>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</si>
  <si>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</si>
  <si>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</si>
  <si>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</si>
  <si>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</si>
  <si>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</si>
  <si>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</si>
  <si>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</si>
  <si>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</si>
  <si>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</si>
  <si>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</si>
  <si>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</si>
  <si>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</si>
  <si>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</si>
  <si>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</si>
  <si>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</si>
  <si>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</si>
  <si>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</si>
  <si>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</si>
  <si>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</si>
  <si>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</si>
  <si>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</si>
  <si>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</si>
  <si>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</si>
  <si>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</si>
  <si>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</si>
  <si>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</si>
  <si>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</si>
  <si>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</si>
  <si>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</si>
  <si>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</si>
  <si>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</si>
  <si>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</si>
  <si>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</si>
  <si>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</si>
  <si>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</si>
  <si>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</si>
  <si>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</si>
  <si>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</si>
  <si>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</si>
  <si>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</si>
  <si>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</si>
  <si>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</si>
  <si>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</si>
  <si>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</si>
  <si>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</si>
  <si>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</si>
  <si>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</si>
  <si>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</si>
  <si>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</si>
  <si>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</si>
  <si>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</si>
  <si>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</si>
  <si>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</si>
  <si>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</si>
  <si>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</si>
  <si>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</si>
  <si>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</si>
  <si>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</si>
  <si>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</si>
  <si>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</si>
  <si>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</si>
  <si>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</si>
  <si>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</si>
  <si>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</si>
  <si>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</si>
  <si>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</si>
  <si>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</si>
  <si>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</si>
  <si>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</si>
  <si>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</si>
  <si>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</si>
  <si>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</si>
  <si>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</si>
  <si>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</si>
  <si>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</si>
  <si>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</si>
  <si>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</si>
  <si>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</si>
  <si>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</si>
  <si>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</si>
  <si>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</si>
  <si>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</si>
  <si>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</si>
  <si>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</si>
  <si>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</si>
  <si>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</si>
  <si>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</si>
  <si>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</si>
  <si>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</si>
  <si>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</si>
  <si>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</si>
  <si>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</si>
  <si>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</si>
  <si>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</si>
  <si>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</si>
  <si>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</si>
  <si>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</si>
  <si>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</si>
  <si>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</si>
  <si>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</si>
  <si>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</si>
  <si>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</si>
  <si>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</si>
  <si>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</si>
  <si>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</si>
  <si>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</si>
  <si>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</si>
  <si>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</si>
  <si>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</si>
  <si>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</si>
  <si>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</si>
  <si>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</si>
  <si>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</si>
  <si>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</si>
  <si>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</si>
  <si>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</si>
  <si>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</si>
  <si>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</si>
  <si>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</si>
  <si>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</si>
  <si>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</si>
  <si>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</si>
  <si>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</si>
  <si>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</si>
  <si>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</si>
  <si>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</si>
  <si>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</si>
  <si>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</si>
  <si>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</si>
  <si>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</si>
  <si>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</si>
  <si>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</si>
  <si>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</si>
  <si>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</si>
  <si>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</si>
  <si>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</si>
  <si>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</si>
  <si>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</si>
  <si>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</si>
  <si>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</si>
  <si>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</si>
  <si>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</si>
  <si>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</si>
  <si>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</si>
  <si>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</si>
  <si>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</si>
  <si>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</si>
  <si>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</si>
  <si>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</si>
  <si>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</si>
  <si>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</si>
  <si>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</si>
  <si>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</si>
  <si>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</si>
  <si>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</si>
  <si>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</si>
  <si>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</si>
  <si>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</si>
  <si>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</si>
  <si>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</si>
  <si>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</si>
  <si>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</si>
  <si>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</si>
  <si>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</si>
  <si>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</si>
  <si>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</si>
  <si>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</si>
  <si>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</si>
  <si>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</si>
  <si>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</si>
  <si>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</si>
  <si>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</si>
  <si>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</si>
  <si>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</si>
  <si>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</si>
  <si>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</si>
  <si>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</si>
  <si>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</si>
  <si>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</si>
  <si>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</si>
  <si>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</si>
  <si>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</si>
  <si>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</si>
  <si>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</si>
  <si>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</si>
  <si>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</si>
  <si>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</si>
  <si>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</si>
  <si>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</si>
  <si>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</si>
  <si>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</si>
  <si>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</si>
  <si>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</si>
  <si>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</si>
  <si>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</si>
  <si>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</si>
  <si>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</si>
  <si>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</si>
  <si>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</si>
  <si>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</si>
  <si>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</si>
  <si>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</si>
  <si>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</si>
  <si>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</si>
  <si>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</si>
  <si>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</si>
  <si>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</si>
  <si>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</si>
  <si>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</si>
  <si>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</si>
  <si>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</si>
  <si>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</si>
  <si>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</si>
  <si>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</si>
  <si>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</si>
  <si>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</si>
  <si>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</si>
  <si>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</si>
  <si>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</si>
  <si>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</si>
  <si>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</si>
  <si>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</si>
  <si>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</si>
  <si>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</si>
  <si>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</si>
  <si>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</si>
  <si>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</si>
  <si>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</si>
  <si>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</si>
  <si>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</si>
  <si>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</si>
  <si>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</si>
  <si>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</si>
  <si>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</si>
  <si>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</si>
  <si>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</si>
  <si>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</si>
  <si>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</si>
  <si>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</si>
  <si>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</si>
  <si>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</si>
  <si>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</si>
  <si>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</si>
  <si>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</si>
  <si>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</si>
  <si>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</si>
  <si>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</si>
  <si>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</si>
  <si>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</si>
  <si>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</si>
  <si>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</si>
  <si>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</si>
  <si>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</si>
  <si>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</si>
  <si>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</si>
  <si>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</si>
  <si>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</si>
  <si>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</si>
  <si>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</si>
  <si>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</si>
  <si>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</si>
  <si>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</si>
  <si>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</si>
  <si>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</si>
  <si>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</si>
  <si>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</si>
  <si>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</si>
  <si>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</si>
  <si>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</si>
  <si>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</si>
  <si>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</si>
  <si>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</si>
  <si>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</si>
  <si>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</si>
  <si>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</si>
  <si>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</si>
  <si>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</si>
  <si>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</si>
  <si>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</si>
  <si>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</si>
  <si>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</si>
  <si>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</si>
  <si>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</si>
  <si>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</si>
  <si>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</si>
  <si>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</si>
  <si>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</si>
  <si>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</si>
  <si>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</si>
  <si>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</si>
  <si>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</si>
  <si>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</si>
  <si>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</si>
  <si>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</si>
  <si>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</si>
  <si>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</si>
  <si>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</si>
  <si>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</si>
  <si>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</si>
  <si>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</si>
  <si>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</si>
  <si>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</si>
  <si>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</si>
  <si>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</si>
  <si>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</si>
  <si>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</si>
  <si>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</si>
  <si>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</si>
  <si>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</si>
  <si>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</si>
  <si>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</si>
  <si>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</si>
  <si>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</si>
  <si>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</si>
  <si>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</si>
  <si>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</si>
  <si>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</si>
  <si>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</si>
  <si>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</si>
  <si>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</si>
  <si>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</si>
  <si>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</si>
  <si>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</si>
  <si>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</si>
  <si>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</si>
  <si>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</si>
  <si>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</si>
  <si>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</si>
  <si>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</si>
  <si>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</si>
  <si>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</si>
  <si>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</si>
  <si>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</si>
  <si>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</si>
  <si>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</si>
  <si>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</si>
  <si>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</si>
  <si>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</si>
  <si>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</si>
  <si>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</si>
  <si>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</si>
  <si>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</si>
  <si>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</si>
  <si>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</si>
  <si>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</si>
  <si>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</si>
  <si>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</si>
  <si>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</si>
  <si>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</si>
  <si>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</si>
  <si>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</si>
  <si>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</si>
  <si>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</si>
  <si>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</si>
  <si>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</si>
  <si>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</si>
  <si>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</si>
  <si>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</si>
  <si>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</si>
  <si>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</si>
  <si>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</si>
  <si>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</si>
  <si>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</si>
  <si>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</si>
  <si>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</si>
  <si>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</si>
  <si>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</si>
  <si>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</si>
  <si>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</si>
  <si>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</si>
  <si>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</si>
  <si>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</si>
  <si>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</si>
  <si>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</si>
  <si>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</si>
  <si>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</si>
  <si>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</si>
  <si>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</si>
  <si>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</si>
  <si>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</si>
  <si>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</si>
  <si>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</si>
  <si>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</si>
  <si>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</si>
  <si>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</si>
  <si>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</si>
  <si>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</si>
  <si>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</si>
  <si>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</si>
  <si>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</si>
  <si>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</si>
  <si>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</si>
  <si>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</si>
  <si>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</si>
  <si>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</si>
  <si>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</si>
  <si>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</si>
  <si>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</si>
  <si>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</si>
  <si>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</si>
  <si>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</si>
  <si>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</si>
  <si>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</si>
  <si>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</si>
  <si>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</si>
  <si>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</si>
  <si>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</si>
  <si>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</si>
  <si>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</si>
  <si>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</si>
  <si>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</si>
  <si>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</si>
  <si>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</si>
  <si>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</si>
  <si>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</si>
  <si>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</si>
  <si>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</si>
  <si>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</si>
  <si>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</si>
  <si>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</si>
  <si>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</si>
  <si>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</si>
  <si>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</si>
  <si>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</si>
  <si>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</si>
  <si>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</si>
  <si>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</si>
  <si>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</si>
  <si>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</si>
  <si>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</si>
  <si>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</si>
  <si>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</si>
  <si>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</si>
  <si>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</si>
  <si>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</si>
  <si>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</si>
  <si>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</si>
  <si>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</si>
  <si>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</si>
  <si>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</si>
  <si>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</si>
  <si>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</si>
  <si>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</si>
  <si>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</si>
  <si>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</si>
  <si>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</si>
  <si>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</si>
  <si>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</si>
  <si>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</si>
  <si>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</si>
  <si>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</si>
  <si>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</si>
  <si>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</si>
  <si>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</si>
  <si>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</si>
  <si>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</si>
  <si>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</si>
  <si>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</si>
  <si>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</si>
  <si>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</si>
  <si>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</si>
  <si>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</si>
  <si>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</si>
  <si>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</si>
  <si>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</si>
  <si>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</si>
  <si>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</si>
  <si>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</si>
  <si>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</si>
  <si>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</si>
  <si>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</si>
  <si>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</si>
  <si>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</si>
  <si>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</si>
  <si>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</si>
  <si>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</si>
  <si>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</si>
  <si>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</si>
  <si>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</si>
  <si>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</si>
  <si>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</si>
  <si>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</si>
  <si>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</si>
  <si>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</si>
  <si>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</si>
  <si>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</si>
  <si>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</si>
  <si>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</si>
  <si>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</si>
  <si>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</si>
  <si>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</si>
  <si>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</si>
  <si>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</si>
  <si>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</si>
  <si>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</si>
  <si>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</si>
  <si>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</si>
  <si>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</si>
  <si>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</si>
  <si>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</si>
  <si>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</si>
  <si>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</si>
  <si>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</si>
  <si>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</si>
  <si>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</si>
  <si>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</si>
  <si>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</si>
  <si>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</si>
  <si>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</si>
  <si>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</si>
  <si>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</si>
  <si>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</si>
  <si>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</si>
  <si>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</si>
  <si>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</si>
  <si>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</si>
  <si>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</si>
  <si>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</si>
  <si>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</si>
  <si>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</si>
  <si>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</si>
  <si>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</si>
  <si>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</si>
  <si>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</si>
  <si>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</si>
  <si>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</si>
  <si>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</si>
  <si>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</si>
  <si>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</si>
  <si>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</si>
  <si>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</si>
  <si>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</si>
  <si>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</si>
  <si>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</si>
  <si>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</si>
  <si>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</si>
  <si>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</si>
  <si>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</si>
  <si>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</si>
  <si>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</si>
  <si>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</si>
  <si>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</si>
  <si>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</si>
  <si>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</si>
  <si>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</si>
  <si>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</si>
  <si>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</si>
  <si>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</si>
  <si>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</si>
  <si>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</si>
  <si>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</si>
  <si>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</si>
  <si>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</si>
  <si>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</si>
  <si>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</si>
  <si>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</si>
  <si>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</si>
  <si>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</si>
  <si>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</si>
  <si>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</si>
  <si>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</si>
  <si>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</si>
  <si>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</si>
  <si>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</si>
  <si>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</si>
  <si>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</si>
  <si>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</si>
  <si>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</si>
  <si>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</si>
  <si>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</si>
  <si>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</si>
  <si>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</si>
  <si>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</si>
  <si>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</si>
  <si>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</si>
  <si>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</si>
  <si>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</si>
  <si>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</si>
  <si>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</si>
  <si>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</si>
  <si>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</si>
  <si>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</si>
  <si>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</si>
  <si>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</si>
  <si>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</si>
  <si>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</si>
  <si>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</si>
  <si>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</si>
  <si>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</si>
  <si>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</si>
  <si>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</si>
  <si>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</si>
  <si>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</si>
  <si>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</si>
  <si>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</si>
  <si>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</si>
  <si>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</si>
  <si>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</si>
  <si>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</si>
  <si>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</si>
  <si>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</si>
  <si>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</si>
  <si>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</si>
  <si>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</si>
  <si>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</si>
  <si>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</si>
  <si>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</si>
  <si>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</si>
  <si>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</si>
  <si>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</si>
  <si>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</si>
  <si>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</si>
  <si>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</si>
  <si>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</si>
  <si>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</si>
  <si>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</si>
  <si>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</si>
  <si>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</si>
  <si>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</si>
  <si>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</si>
  <si>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</si>
  <si>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</si>
  <si>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</si>
  <si>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</si>
  <si>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</si>
  <si>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</si>
  <si>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</si>
  <si>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</si>
  <si>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</si>
  <si>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</si>
  <si>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</si>
  <si>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</si>
  <si>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</si>
  <si>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</si>
  <si>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</si>
  <si>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</si>
  <si>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</si>
  <si>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</si>
  <si>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</si>
  <si>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</si>
  <si>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</si>
  <si>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</si>
  <si>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</si>
  <si>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</si>
  <si>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</si>
  <si>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</si>
  <si>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</si>
  <si>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</si>
  <si>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</si>
  <si>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</si>
  <si>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</si>
  <si>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</si>
  <si>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</si>
  <si>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</si>
  <si>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</si>
  <si>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</si>
  <si>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</si>
  <si>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</si>
  <si>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</si>
  <si>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</si>
  <si>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</si>
  <si>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</si>
  <si>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</si>
  <si>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</si>
  <si>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</si>
  <si>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</si>
  <si>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</si>
  <si>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</si>
  <si>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</si>
  <si>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</si>
  <si>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</si>
  <si>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</si>
  <si>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</si>
  <si>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</si>
  <si>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</si>
  <si>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</si>
  <si>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</si>
  <si>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</si>
  <si>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</si>
  <si>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</si>
  <si>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</si>
  <si>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</si>
  <si>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</si>
  <si>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</si>
  <si>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</si>
  <si>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</si>
  <si>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</si>
  <si>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</si>
  <si>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</si>
  <si>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</si>
  <si>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</si>
  <si>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</si>
  <si>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</si>
  <si>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</si>
  <si>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</si>
  <si>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</si>
  <si>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</si>
  <si>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</si>
  <si>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</si>
  <si>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</si>
  <si>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</si>
  <si>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</si>
  <si>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</si>
  <si>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</si>
  <si>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</si>
  <si>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</si>
  <si>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</si>
  <si>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</si>
  <si>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</si>
  <si>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</si>
  <si>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</si>
  <si>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</si>
  <si>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</si>
  <si>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</si>
  <si>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</si>
  <si>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</si>
  <si>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</si>
  <si>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</si>
  <si>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</si>
  <si>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</si>
  <si>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</si>
  <si>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</si>
  <si>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</si>
  <si>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</si>
  <si>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</si>
  <si>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</si>
  <si>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</si>
  <si>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</si>
  <si>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</si>
  <si>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</si>
  <si>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</si>
  <si>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</si>
  <si>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</si>
  <si>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</si>
  <si>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</si>
  <si>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</si>
  <si>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</si>
  <si>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</si>
  <si>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</si>
  <si>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</si>
  <si>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</si>
  <si>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</si>
  <si>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</si>
  <si>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</si>
  <si>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</si>
  <si>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</si>
  <si>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</si>
  <si>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</si>
  <si>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</si>
  <si>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</si>
  <si>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</si>
  <si>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</si>
  <si>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</si>
  <si>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</si>
  <si>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</si>
  <si>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</si>
  <si>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</si>
  <si>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</si>
  <si>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</si>
  <si>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</si>
  <si>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</si>
  <si>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</si>
  <si>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</si>
  <si>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</si>
  <si>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</si>
  <si>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</si>
  <si>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</si>
  <si>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</si>
  <si>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</si>
  <si>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</si>
  <si>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</si>
  <si>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</si>
  <si>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</si>
  <si>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</si>
  <si>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</si>
  <si>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</si>
  <si>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</si>
  <si>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</si>
  <si>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</si>
  <si>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</si>
  <si>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</si>
  <si>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</si>
  <si>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</si>
  <si>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</si>
  <si>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</si>
  <si>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</si>
  <si>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</si>
  <si>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</si>
  <si>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</si>
  <si>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</si>
  <si>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</si>
  <si>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</si>
  <si>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</si>
  <si>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</si>
  <si>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</si>
  <si>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</si>
  <si>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</si>
  <si>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</si>
  <si>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</si>
  <si>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</si>
  <si>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</si>
  <si>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</si>
  <si>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</si>
  <si>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</si>
  <si>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</si>
  <si>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</si>
  <si>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</si>
  <si>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</si>
  <si>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</si>
  <si>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</si>
  <si>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</si>
  <si>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</si>
  <si>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</si>
  <si>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</si>
  <si>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</si>
  <si>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</si>
  <si>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</si>
  <si>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</si>
  <si>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</si>
  <si>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</si>
  <si>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</si>
  <si>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</si>
  <si>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</si>
  <si>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</si>
  <si>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</si>
  <si>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</si>
  <si>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</si>
  <si>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</si>
  <si>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</si>
  <si>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</si>
  <si>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</si>
  <si>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</si>
  <si>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</si>
  <si>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</si>
  <si>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</si>
  <si>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</si>
  <si>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</si>
  <si>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</si>
  <si>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</si>
  <si>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</si>
  <si>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</si>
  <si>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</si>
  <si>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</si>
  <si>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</si>
  <si>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</si>
  <si>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</si>
  <si>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</si>
  <si>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</si>
  <si>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</si>
  <si>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</si>
  <si>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</si>
  <si>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</si>
  <si>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</si>
  <si>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</si>
  <si>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</si>
  <si>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</si>
  <si>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</si>
  <si>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</si>
  <si>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</si>
  <si>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</si>
  <si>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</si>
  <si>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</si>
  <si>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</si>
  <si>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</si>
  <si>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</si>
  <si>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</si>
  <si>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</si>
  <si>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</si>
  <si>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</si>
  <si>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</si>
  <si>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</si>
  <si>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</si>
  <si>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</si>
  <si>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</si>
  <si>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</si>
  <si>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</si>
  <si>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</si>
  <si>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</si>
  <si>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</si>
  <si>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</si>
  <si>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</si>
  <si>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</si>
  <si>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</si>
  <si>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</si>
  <si>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</si>
  <si>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</si>
  <si>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</si>
  <si>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</si>
  <si>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</si>
  <si>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</si>
  <si>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</si>
  <si>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</si>
  <si>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</si>
  <si>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</si>
  <si>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</si>
  <si>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</si>
  <si>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</si>
  <si>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</si>
  <si>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</si>
  <si>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</si>
  <si>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</si>
  <si>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</si>
  <si>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</si>
  <si>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</si>
  <si>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</si>
  <si>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</si>
  <si>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</si>
  <si>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</si>
  <si>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</si>
  <si>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</si>
  <si>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</si>
  <si>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</si>
  <si>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</si>
  <si>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</si>
  <si>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</si>
  <si>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</si>
  <si>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</si>
  <si>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</si>
  <si>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</si>
  <si>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</si>
  <si>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</si>
  <si>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</si>
  <si>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</si>
  <si>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</si>
  <si>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</si>
  <si>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</si>
  <si>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</si>
  <si>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</si>
  <si>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</si>
  <si>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</si>
  <si>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</si>
  <si>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</si>
  <si>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</si>
  <si>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</si>
  <si>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</si>
  <si>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</si>
  <si>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</si>
  <si>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</si>
  <si>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</si>
  <si>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</si>
  <si>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</si>
  <si>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</si>
  <si>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</si>
  <si>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</si>
  <si>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</si>
  <si>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</si>
  <si>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</si>
  <si>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</si>
  <si>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</si>
  <si>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</si>
  <si>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</si>
  <si>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</si>
  <si>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</si>
  <si>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</si>
  <si>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</si>
  <si>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</si>
  <si>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</si>
  <si>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</si>
  <si>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</si>
  <si>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</si>
  <si>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</si>
  <si>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</si>
  <si>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</si>
  <si>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</si>
  <si>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</si>
  <si>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</si>
  <si>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</si>
  <si>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</si>
  <si>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</si>
  <si>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</si>
  <si>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</si>
  <si>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</si>
  <si>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</si>
  <si>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</si>
  <si>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</si>
  <si>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</si>
  <si>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</si>
  <si>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</si>
  <si>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</si>
  <si>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</si>
  <si>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</si>
  <si>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</si>
  <si>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</si>
  <si>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</si>
  <si>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</si>
  <si>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</si>
  <si>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</si>
  <si>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</si>
  <si>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</si>
  <si>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</si>
  <si>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</si>
  <si>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</si>
  <si>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</si>
  <si>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</si>
  <si>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</si>
  <si>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</si>
  <si>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</si>
  <si>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</si>
  <si>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</si>
  <si>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</si>
  <si>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</si>
  <si>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</si>
  <si>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</si>
  <si>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</si>
  <si>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</si>
  <si>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</si>
  <si>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</si>
  <si>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</si>
  <si>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</si>
  <si>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</si>
  <si>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</si>
  <si>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</si>
  <si>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</si>
  <si>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</si>
  <si>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</si>
  <si>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</si>
  <si>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</si>
  <si>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</si>
  <si>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</si>
  <si>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</si>
  <si>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</si>
  <si>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</si>
  <si>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</si>
  <si>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</si>
  <si>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</si>
  <si>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</si>
  <si>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</si>
  <si>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</si>
  <si>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</si>
  <si>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</si>
  <si>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</si>
  <si>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</si>
  <si>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</si>
  <si>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</si>
  <si>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</si>
  <si>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</si>
  <si>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</si>
  <si>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</si>
  <si>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</si>
  <si>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</si>
  <si>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</si>
  <si>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</si>
  <si>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</si>
  <si>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</si>
  <si>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</si>
  <si>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</si>
  <si>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</si>
  <si>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</si>
  <si>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</si>
  <si>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</si>
  <si>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</si>
  <si>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</si>
  <si>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</si>
  <si>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</si>
  <si>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</si>
  <si>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</si>
  <si>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</si>
  <si>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</si>
  <si>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</si>
  <si>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</si>
  <si>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</si>
  <si>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</si>
  <si>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</si>
  <si>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</si>
  <si>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</si>
  <si>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</si>
  <si>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</si>
  <si>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</si>
  <si>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</si>
  <si>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</si>
  <si>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</si>
  <si>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</si>
  <si>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</si>
  <si>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</si>
  <si>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</si>
  <si>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</si>
  <si>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</si>
  <si>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</si>
  <si>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</si>
  <si>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</si>
  <si>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</si>
  <si>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</si>
  <si>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</si>
  <si>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</si>
  <si>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</si>
  <si>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</si>
  <si>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</si>
  <si>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</si>
  <si>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</si>
  <si>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</si>
  <si>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</si>
  <si>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</si>
  <si>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</si>
  <si>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</si>
  <si>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</si>
  <si>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</si>
  <si>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</si>
  <si>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</si>
  <si>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</si>
  <si>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</si>
  <si>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</si>
  <si>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</si>
  <si>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</si>
  <si>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</si>
  <si>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</si>
  <si>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</si>
  <si>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</si>
  <si>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</si>
  <si>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</si>
  <si>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</si>
  <si>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</si>
  <si>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</si>
  <si>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</si>
  <si>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</si>
  <si>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</si>
  <si>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</si>
  <si>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</si>
  <si>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</si>
  <si>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</si>
  <si>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</si>
  <si>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</si>
  <si>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</si>
  <si>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</si>
  <si>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</si>
  <si>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</si>
  <si>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</si>
  <si>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</si>
  <si>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</si>
  <si>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</si>
  <si>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</si>
  <si>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</si>
  <si>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</si>
  <si>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</si>
  <si>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</si>
  <si>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</si>
  <si>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</si>
  <si>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</si>
  <si>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</si>
  <si>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</si>
  <si>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</si>
  <si>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</si>
  <si>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</si>
  <si>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</si>
  <si>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</si>
  <si>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</si>
  <si>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</si>
  <si>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</si>
  <si>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</si>
  <si>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</si>
  <si>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</si>
  <si>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</si>
  <si>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</si>
  <si>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</si>
  <si>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</si>
  <si>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</si>
  <si>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</si>
  <si>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</si>
  <si>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</si>
  <si>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</si>
  <si>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</si>
  <si>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</si>
  <si>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</si>
  <si>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</si>
  <si>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</si>
  <si>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</si>
  <si>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</si>
  <si>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</si>
  <si>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</si>
  <si>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</si>
  <si>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</si>
  <si>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</si>
  <si>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</si>
  <si>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</si>
  <si>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</si>
  <si>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</si>
  <si>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</si>
  <si>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</si>
  <si>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</si>
  <si>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</si>
  <si>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</si>
  <si>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</si>
  <si>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</si>
  <si>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</si>
  <si>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</si>
  <si>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</si>
  <si>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</si>
  <si>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</si>
  <si>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</si>
  <si>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</si>
  <si>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</si>
  <si>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</si>
  <si>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</si>
  <si>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</si>
  <si>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</si>
  <si>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</si>
  <si>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</si>
  <si>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</si>
  <si>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</si>
  <si>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</si>
  <si>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</si>
  <si>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</si>
  <si>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</si>
  <si>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</si>
  <si>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</si>
  <si>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</si>
  <si>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</si>
  <si>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</si>
  <si>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</si>
  <si>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</si>
  <si>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</si>
  <si>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</si>
  <si>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</si>
  <si>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</si>
  <si>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</si>
  <si>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</si>
  <si>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</si>
  <si>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</si>
  <si>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</si>
  <si>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</si>
  <si>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</si>
  <si>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</si>
  <si>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</si>
  <si>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</si>
  <si>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</si>
  <si>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</si>
  <si>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</si>
  <si>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</si>
  <si>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</si>
  <si>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</si>
  <si>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</si>
  <si>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</si>
  <si>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</si>
  <si>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</si>
  <si>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</si>
  <si>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</si>
  <si>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</si>
  <si>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</si>
  <si>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</si>
  <si>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</si>
  <si>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</si>
  <si>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</si>
  <si>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</si>
  <si>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</si>
  <si>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</si>
  <si>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</si>
  <si>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</si>
  <si>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</si>
  <si>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</si>
  <si>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</si>
  <si>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</si>
  <si>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</si>
  <si>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</si>
  <si>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</si>
  <si>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</si>
  <si>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</si>
  <si>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</si>
  <si>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</si>
  <si>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</si>
  <si>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</si>
  <si>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</si>
  <si>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</si>
  <si>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</si>
  <si>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</si>
  <si>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</si>
  <si>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</si>
  <si>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</si>
  <si>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</si>
  <si>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</si>
  <si>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</si>
  <si>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</si>
  <si>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</si>
  <si>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</si>
  <si>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</si>
  <si>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</si>
  <si>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</si>
  <si>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</si>
  <si>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</si>
  <si>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</si>
  <si>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</si>
  <si>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</si>
  <si>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</si>
  <si>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</si>
  <si>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</si>
  <si>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</si>
  <si>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</si>
  <si>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</si>
  <si>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</si>
  <si>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</si>
  <si>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</si>
  <si>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</si>
  <si>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</si>
  <si>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</si>
  <si>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</si>
  <si>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</si>
  <si>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</si>
  <si>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</si>
  <si>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</si>
  <si>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</si>
  <si>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</si>
  <si>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</si>
  <si>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</si>
  <si>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</si>
  <si>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</si>
  <si>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</si>
  <si>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</si>
  <si>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</si>
  <si>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</si>
  <si>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</si>
  <si>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</si>
  <si>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</si>
  <si>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</si>
  <si>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</si>
  <si>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</si>
  <si>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</si>
  <si>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</si>
  <si>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</si>
  <si>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</si>
  <si>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</si>
  <si>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</si>
  <si>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</si>
  <si>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</si>
  <si>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</si>
  <si>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</si>
  <si>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</si>
  <si>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</si>
  <si>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</si>
  <si>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</si>
  <si>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</si>
  <si>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</si>
  <si>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</si>
  <si>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</si>
  <si>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</si>
  <si>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</si>
  <si>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</si>
  <si>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</si>
  <si>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</si>
  <si>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</si>
  <si>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</si>
  <si>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</si>
  <si>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</si>
  <si>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</si>
  <si>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</si>
  <si>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</si>
  <si>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</si>
  <si>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</si>
  <si>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</si>
  <si>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</si>
  <si>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</si>
  <si>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</si>
  <si>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</si>
  <si>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</si>
  <si>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</si>
  <si>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</si>
  <si>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</si>
  <si>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</si>
  <si>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</si>
  <si>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</si>
  <si>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</si>
  <si>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</si>
  <si>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</si>
  <si>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</si>
  <si>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</si>
  <si>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</si>
  <si>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</si>
  <si>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</si>
  <si>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</si>
  <si>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</si>
  <si>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</si>
  <si>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</si>
  <si>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</si>
  <si>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</si>
  <si>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</si>
  <si>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</si>
  <si>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</si>
  <si>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</si>
  <si>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</si>
  <si>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</si>
  <si>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</si>
  <si>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</si>
  <si>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</si>
  <si>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</si>
  <si>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</si>
  <si>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</si>
  <si>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</si>
  <si>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</si>
  <si>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</si>
  <si>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</si>
  <si>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</si>
  <si>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</si>
  <si>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</si>
  <si>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</si>
  <si>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</si>
  <si>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</si>
  <si>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</si>
  <si>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</si>
  <si>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</si>
  <si>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</si>
  <si>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</si>
  <si>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</si>
  <si>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</si>
  <si>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</si>
  <si>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</si>
  <si>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</si>
  <si>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</si>
  <si>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</si>
  <si>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</si>
  <si>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</si>
  <si>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</si>
  <si>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</si>
  <si>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</si>
  <si>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</si>
  <si>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</si>
  <si>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</si>
  <si>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</si>
  <si>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</si>
  <si>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</si>
  <si>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</si>
  <si>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</si>
  <si>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</si>
  <si>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</si>
  <si>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</si>
  <si>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</si>
  <si>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</si>
  <si>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</si>
  <si>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</si>
  <si>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</si>
  <si>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</si>
  <si>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</si>
  <si>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</si>
  <si>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</si>
  <si>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</si>
  <si>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</si>
  <si>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</si>
  <si>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</si>
  <si>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</si>
  <si>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</si>
  <si>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</si>
  <si>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</si>
  <si>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</si>
  <si>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</si>
  <si>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</si>
  <si>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</si>
  <si>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</si>
  <si>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</si>
  <si>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</si>
  <si>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</si>
  <si>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</si>
  <si>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</si>
  <si>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</si>
  <si>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</si>
  <si>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</si>
  <si>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</si>
  <si>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</si>
  <si>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</si>
  <si>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</si>
  <si>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</si>
  <si>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</si>
  <si>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</si>
  <si>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</si>
  <si>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</si>
  <si>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</si>
  <si>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</si>
  <si>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</si>
  <si>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</si>
  <si>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</si>
  <si>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</si>
  <si>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</si>
  <si>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</si>
  <si>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</si>
  <si>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</si>
  <si>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</si>
  <si>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</si>
  <si>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</si>
  <si>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</si>
  <si>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</si>
  <si>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</si>
  <si>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</si>
  <si>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</si>
  <si>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</si>
  <si>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</si>
  <si>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</si>
  <si>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</si>
  <si>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</si>
  <si>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</si>
  <si>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</si>
  <si>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</si>
  <si>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</si>
  <si>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</si>
  <si>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</si>
  <si>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</si>
  <si>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</si>
  <si>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</si>
  <si>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</si>
  <si>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</si>
  <si>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</si>
  <si>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</si>
  <si>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</si>
  <si>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</si>
  <si>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</si>
  <si>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</si>
  <si>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</si>
  <si>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</si>
  <si>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</si>
  <si>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</si>
  <si>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</si>
  <si>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</si>
  <si>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</si>
  <si>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</si>
  <si>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</si>
  <si>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</si>
  <si>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</si>
  <si>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</si>
  <si>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</si>
  <si>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</si>
  <si>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</si>
  <si>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</si>
  <si>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</si>
  <si>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</si>
  <si>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</si>
  <si>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</si>
  <si>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</si>
  <si>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</si>
  <si>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</si>
  <si>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</si>
  <si>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</si>
  <si>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</si>
  <si>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</si>
  <si>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</si>
  <si>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</si>
  <si>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</si>
  <si>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</si>
  <si>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</si>
  <si>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</si>
  <si>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</si>
  <si>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</si>
  <si>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</si>
  <si>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</si>
  <si>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</si>
  <si>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</si>
  <si>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</si>
  <si>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</si>
  <si>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</si>
  <si>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</si>
  <si>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</si>
  <si>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</si>
  <si>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</si>
  <si>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</si>
  <si>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</si>
  <si>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</si>
  <si>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</si>
  <si>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</si>
  <si>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</si>
  <si>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</si>
  <si>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</si>
  <si>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</si>
  <si>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</si>
  <si>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</si>
  <si>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</si>
  <si>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</si>
  <si>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</si>
  <si>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</si>
  <si>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</si>
  <si>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</si>
  <si>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</si>
  <si>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</si>
  <si>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</si>
  <si>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</si>
  <si>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</si>
  <si>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</si>
  <si>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</si>
  <si>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</si>
  <si>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</si>
  <si>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</si>
  <si>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</si>
  <si>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</si>
  <si>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</si>
  <si>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</si>
  <si>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</si>
  <si>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</si>
  <si>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</si>
  <si>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</si>
  <si>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</si>
  <si>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</si>
  <si>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</si>
  <si>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</si>
  <si>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</si>
  <si>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</si>
  <si>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</si>
  <si>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</si>
  <si>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</si>
  <si>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</si>
  <si>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</si>
  <si>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</si>
  <si>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</si>
  <si>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</si>
  <si>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</si>
  <si>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</si>
  <si>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</si>
  <si>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</si>
  <si>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</si>
  <si>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</si>
  <si>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</si>
  <si>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</si>
  <si>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</si>
  <si>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</si>
  <si>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</si>
  <si>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</si>
  <si>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</si>
  <si>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</si>
  <si>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</si>
  <si>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</si>
  <si>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</si>
  <si>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</si>
  <si>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</si>
  <si>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</si>
  <si>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</si>
  <si>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</si>
  <si>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</si>
  <si>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</si>
  <si>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</si>
  <si>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</si>
  <si>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</si>
  <si>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</si>
  <si>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</si>
  <si>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</si>
  <si>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</si>
  <si>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</si>
  <si>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</si>
  <si>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</si>
  <si>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</si>
  <si>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</si>
  <si>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</si>
  <si>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</si>
  <si>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</si>
  <si>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</si>
  <si>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</si>
  <si>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</si>
  <si>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</si>
  <si>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</si>
  <si>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</si>
  <si>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</si>
  <si>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</si>
  <si>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</si>
  <si>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</si>
  <si>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</si>
  <si>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</si>
  <si>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</si>
  <si>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</si>
  <si>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</si>
  <si>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</si>
  <si>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</si>
  <si>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</si>
  <si>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</si>
  <si>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</si>
  <si>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</si>
  <si>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</si>
  <si>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</si>
  <si>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</si>
  <si>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</si>
  <si>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</si>
  <si>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</si>
  <si>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</si>
  <si>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</si>
  <si>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</si>
  <si>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</si>
  <si>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</si>
  <si>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</si>
  <si>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</si>
  <si>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</si>
  <si>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</si>
  <si>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</si>
  <si>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</si>
  <si>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</si>
  <si>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</si>
  <si>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</si>
  <si>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</si>
  <si>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</si>
  <si>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</si>
  <si>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</si>
  <si>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</si>
  <si>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</si>
  <si>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</si>
  <si>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</si>
  <si>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</si>
  <si>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</si>
  <si>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</si>
  <si>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</si>
  <si>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</si>
  <si>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</si>
  <si>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</si>
  <si>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</si>
  <si>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</si>
  <si>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</si>
  <si>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</si>
  <si>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</si>
  <si>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</si>
  <si>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</si>
  <si>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</si>
  <si>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</si>
  <si>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</si>
  <si>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</si>
  <si>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</si>
  <si>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</si>
  <si>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</si>
  <si>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</si>
  <si>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</si>
  <si>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</si>
  <si>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</si>
  <si>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</si>
  <si>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</si>
  <si>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</si>
  <si>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</si>
  <si>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</si>
  <si>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</si>
  <si>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</si>
  <si>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</si>
  <si>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</si>
  <si>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</si>
  <si>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</si>
  <si>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</si>
  <si>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</si>
  <si>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</si>
  <si>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</si>
  <si>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</si>
  <si>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</si>
  <si>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</si>
  <si>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</si>
  <si>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</si>
  <si>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</si>
  <si>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</si>
  <si>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</si>
  <si>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</si>
  <si>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</si>
  <si>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</si>
  <si>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</si>
  <si>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</si>
  <si>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</si>
  <si>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</si>
  <si>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</si>
  <si>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</si>
  <si>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</si>
  <si>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</si>
  <si>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</si>
  <si>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</si>
  <si>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</si>
  <si>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</si>
  <si>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</si>
  <si>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</si>
  <si>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</si>
  <si>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</si>
  <si>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</si>
  <si>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</si>
  <si>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</si>
  <si>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</si>
  <si>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</si>
  <si>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</si>
  <si>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</si>
  <si>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</si>
  <si>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</si>
  <si>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</si>
  <si>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</si>
  <si>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</si>
  <si>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</si>
  <si>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</si>
  <si>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</si>
  <si>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</si>
  <si>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</si>
  <si>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</si>
  <si>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</si>
  <si>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</si>
  <si>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</si>
  <si>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</si>
  <si>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</si>
  <si>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</si>
  <si>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</si>
  <si>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</si>
  <si>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</si>
  <si>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</si>
  <si>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</si>
  <si>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</si>
  <si>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</si>
  <si>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</si>
  <si>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</si>
  <si>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</si>
  <si>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</si>
  <si>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</si>
  <si>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</si>
  <si>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</si>
  <si>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</si>
  <si>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</si>
  <si>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</si>
  <si>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</si>
  <si>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</si>
  <si>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</si>
  <si>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</si>
  <si>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</si>
  <si>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</si>
  <si>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</si>
  <si>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</si>
  <si>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</si>
  <si>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</si>
  <si>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</si>
  <si>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</si>
  <si>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</si>
  <si>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</si>
  <si>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</si>
  <si>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</si>
  <si>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</si>
  <si>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</si>
  <si>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</si>
  <si>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</si>
  <si>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</si>
  <si>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</si>
  <si>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</si>
  <si>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</si>
  <si>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</si>
  <si>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</si>
  <si>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</si>
  <si>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</si>
  <si>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</si>
  <si>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</si>
  <si>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</si>
  <si>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</si>
  <si>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</si>
  <si>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</si>
  <si>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</si>
  <si>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</si>
  <si>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</si>
  <si>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</si>
  <si>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</si>
  <si>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</si>
  <si>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</si>
  <si>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</si>
  <si>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</si>
  <si>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</si>
  <si>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</si>
  <si>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</si>
  <si>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</si>
  <si>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</si>
  <si>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</si>
  <si>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</si>
  <si>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</si>
  <si>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</si>
  <si>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</si>
  <si>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</si>
  <si>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</si>
  <si>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</si>
  <si>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</si>
  <si>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</si>
  <si>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</si>
  <si>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</si>
  <si>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</si>
  <si>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</si>
  <si>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</si>
  <si>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</si>
  <si>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</si>
  <si>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</si>
  <si>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</si>
  <si>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</si>
  <si>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</si>
  <si>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</si>
  <si>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</si>
  <si>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</si>
  <si>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</si>
  <si>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</si>
  <si>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</si>
  <si>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</si>
  <si>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</si>
  <si>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</si>
  <si>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</si>
  <si>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</si>
  <si>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</si>
  <si>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</si>
  <si>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</si>
  <si>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</si>
  <si>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</si>
  <si>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</si>
  <si>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</si>
  <si>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</si>
  <si>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</si>
  <si>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</si>
  <si>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</si>
  <si>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</si>
  <si>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</si>
  <si>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</si>
  <si>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</si>
  <si>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</si>
  <si>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</si>
  <si>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</si>
  <si>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</si>
  <si>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</si>
  <si>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</si>
  <si>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</si>
  <si>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</si>
  <si>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</si>
  <si>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</si>
  <si>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</si>
  <si>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</si>
  <si>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</si>
  <si>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</si>
  <si>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</si>
  <si>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</si>
  <si>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</si>
  <si>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</si>
  <si>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</si>
  <si>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</si>
  <si>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</si>
  <si>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</si>
  <si>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</si>
  <si>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</si>
  <si>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</si>
  <si>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</si>
  <si>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</si>
  <si>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</si>
  <si>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</si>
  <si>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</si>
  <si>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</si>
  <si>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</si>
  <si>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</si>
  <si>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</si>
  <si>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</si>
  <si>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</si>
  <si>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</si>
  <si>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</si>
  <si>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</si>
  <si>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</si>
  <si>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</si>
  <si>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</si>
  <si>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</si>
  <si>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</si>
  <si>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</si>
  <si>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</si>
  <si>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</si>
  <si>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</si>
  <si>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</si>
  <si>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</si>
  <si>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</si>
  <si>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</si>
  <si>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</si>
  <si>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</si>
  <si>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</si>
  <si>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</si>
  <si>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</si>
  <si>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</si>
  <si>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</si>
  <si>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</si>
  <si>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</si>
  <si>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</si>
  <si>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</si>
  <si>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</si>
  <si>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</si>
  <si>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</si>
  <si>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</si>
  <si>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</si>
  <si>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</si>
  <si>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</si>
  <si>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</si>
  <si>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</si>
  <si>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</si>
  <si>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</si>
  <si>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</si>
  <si>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</si>
  <si>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</si>
  <si>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</si>
  <si>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</si>
  <si>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</si>
  <si>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</si>
  <si>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</si>
  <si>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</si>
  <si>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</si>
  <si>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</si>
  <si>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</si>
  <si>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</si>
  <si>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</si>
  <si>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</si>
  <si>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</si>
  <si>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</si>
  <si>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</si>
  <si>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</si>
  <si>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</si>
  <si>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</si>
  <si>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</si>
  <si>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</si>
  <si>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</si>
  <si>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</si>
  <si>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</si>
  <si>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</si>
  <si>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</si>
  <si>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</si>
  <si>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</si>
  <si>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</si>
  <si>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</si>
  <si>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</si>
  <si>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</si>
  <si>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</si>
  <si>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</si>
  <si>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</si>
  <si>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</si>
  <si>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</si>
  <si>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</si>
  <si>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</si>
  <si>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</si>
  <si>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</si>
  <si>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</si>
  <si>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</si>
  <si>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</si>
  <si>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</si>
  <si>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</si>
  <si>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</si>
  <si>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</si>
  <si>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</si>
  <si>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</si>
  <si>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</si>
  <si>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</si>
  <si>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</si>
  <si>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</si>
  <si>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</si>
  <si>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</si>
  <si>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</si>
  <si>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</si>
  <si>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</si>
  <si>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</si>
  <si>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</si>
  <si>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</si>
  <si>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</si>
  <si>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</si>
  <si>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</si>
  <si>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</si>
  <si>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</si>
  <si>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</si>
  <si>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</si>
  <si>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</si>
  <si>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</si>
  <si>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</si>
  <si>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</si>
  <si>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</si>
  <si>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</si>
  <si>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</si>
  <si>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</si>
  <si>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</si>
  <si>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</si>
  <si>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</si>
  <si>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</si>
  <si>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</si>
  <si>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</si>
  <si>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</si>
  <si>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</si>
  <si>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</si>
  <si>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</si>
  <si>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</si>
  <si>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</si>
  <si>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</si>
  <si>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</si>
  <si>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</si>
  <si>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</si>
  <si>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</si>
  <si>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</si>
  <si>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</si>
  <si>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</si>
  <si>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</si>
  <si>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</si>
  <si>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</si>
  <si>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</si>
  <si>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</si>
  <si>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</si>
  <si>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</si>
  <si>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</si>
  <si>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</si>
  <si>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</si>
  <si>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</si>
  <si>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</si>
  <si>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</si>
  <si>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</si>
  <si>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</si>
  <si>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</si>
  <si>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</si>
  <si>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</si>
  <si>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</si>
  <si>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</si>
  <si>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</si>
  <si>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</si>
  <si>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</si>
  <si>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</si>
  <si>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</si>
  <si>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</si>
  <si>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</si>
  <si>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</si>
  <si>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</si>
  <si>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</si>
  <si>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</si>
  <si>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</si>
  <si>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</si>
  <si>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</si>
  <si>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</si>
  <si>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</si>
  <si>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</si>
  <si>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</si>
  <si>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</si>
  <si>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</si>
  <si>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</si>
  <si>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</si>
  <si>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</si>
  <si>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</si>
  <si>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</si>
  <si>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</si>
  <si>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</si>
  <si>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</si>
  <si>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</si>
  <si>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</si>
  <si>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</si>
  <si>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</si>
  <si>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</si>
  <si>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</si>
  <si>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</si>
  <si>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</si>
  <si>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</si>
  <si>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</si>
  <si>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</si>
  <si>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</si>
  <si>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</si>
  <si>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</si>
  <si>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</si>
  <si>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</si>
  <si>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</si>
  <si>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</si>
  <si>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</si>
  <si>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</si>
  <si>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</si>
  <si>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</si>
  <si>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</si>
  <si>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</si>
  <si>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</si>
  <si>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</si>
  <si>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</si>
  <si>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</si>
  <si>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</si>
  <si>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</si>
  <si>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</si>
  <si>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</si>
  <si>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</si>
  <si>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</si>
  <si>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</si>
  <si>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</si>
  <si>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</si>
  <si>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</si>
  <si>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</si>
  <si>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</si>
  <si>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</si>
  <si>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</si>
  <si>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</si>
  <si>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</si>
  <si>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</si>
  <si>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</si>
  <si>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</si>
  <si>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</si>
  <si>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</si>
  <si>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</si>
  <si>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</si>
  <si>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</si>
  <si>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</si>
  <si>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</si>
  <si>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</si>
  <si>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</si>
  <si>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</si>
  <si>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</si>
  <si>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</si>
  <si>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</si>
  <si>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</si>
  <si>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</si>
  <si>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</si>
  <si>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</si>
  <si>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</si>
  <si>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</si>
  <si>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</si>
  <si>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</si>
  <si>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</si>
  <si>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</si>
  <si>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</si>
  <si>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</si>
  <si>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</si>
  <si>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</si>
  <si>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</si>
  <si>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</si>
  <si>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</si>
  <si>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</si>
  <si>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</si>
  <si>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</si>
  <si>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</si>
  <si>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</si>
  <si>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</si>
  <si>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</si>
  <si>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</si>
  <si>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</si>
  <si>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</si>
  <si>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</si>
  <si>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</si>
  <si>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</si>
  <si>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</si>
  <si>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</si>
  <si>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</si>
  <si>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</si>
  <si>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</si>
  <si>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</si>
  <si>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</si>
  <si>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</si>
  <si>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</si>
  <si>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</si>
  <si>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</si>
  <si>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</si>
  <si>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</si>
  <si>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</si>
  <si>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</si>
  <si>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</si>
  <si>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</si>
  <si>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</si>
  <si>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</si>
  <si>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</si>
  <si>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</si>
  <si>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</si>
  <si>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</si>
  <si>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</si>
  <si>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</si>
  <si>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</si>
  <si>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</si>
  <si>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</si>
  <si>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</si>
  <si>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</si>
  <si>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</si>
  <si>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</si>
  <si>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</si>
  <si>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</si>
  <si>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</si>
  <si>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</si>
  <si>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</si>
  <si>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</si>
  <si>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</si>
  <si>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</si>
  <si>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</si>
  <si>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</si>
  <si>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</si>
  <si>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</si>
  <si>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</si>
  <si>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</si>
  <si>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</si>
  <si>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</si>
  <si>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</si>
  <si>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</si>
  <si>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</si>
  <si>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</si>
  <si>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</si>
  <si>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</si>
  <si>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</si>
  <si>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</si>
  <si>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</si>
  <si>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</si>
  <si>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</si>
  <si>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</si>
  <si>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</si>
  <si>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</si>
  <si>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</si>
  <si>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</si>
  <si>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</si>
  <si>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</si>
  <si>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</si>
  <si>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</si>
  <si>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</si>
  <si>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</si>
  <si>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</si>
  <si>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</si>
  <si>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</si>
  <si>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</si>
  <si>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</si>
  <si>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</si>
  <si>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</si>
  <si>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</si>
  <si>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</si>
  <si>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</si>
  <si>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</si>
  <si>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</si>
  <si>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</si>
  <si>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</si>
  <si>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</si>
  <si>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</si>
  <si>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</si>
  <si>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</si>
  <si>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</si>
  <si>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</si>
  <si>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</si>
  <si>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</si>
  <si>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</si>
  <si>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</si>
  <si>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</si>
  <si>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</si>
  <si>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</si>
  <si>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</si>
  <si>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</si>
  <si>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</si>
  <si>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</si>
  <si>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</si>
  <si>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</si>
  <si>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</si>
  <si>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</si>
  <si>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</si>
  <si>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</si>
  <si>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</si>
  <si>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</si>
  <si>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</si>
  <si>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</si>
  <si>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</si>
  <si>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</si>
  <si>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</si>
  <si>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</si>
  <si>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</si>
  <si>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</si>
  <si>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</si>
  <si>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</si>
  <si>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</si>
  <si>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</si>
  <si>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</si>
  <si>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</si>
  <si>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</si>
  <si>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</si>
  <si>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</si>
  <si>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</si>
  <si>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</si>
  <si>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</si>
  <si>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</si>
  <si>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</si>
  <si>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</si>
  <si>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</si>
  <si>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</si>
  <si>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</si>
  <si>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</si>
  <si>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</si>
  <si>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</si>
  <si>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</si>
  <si>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</si>
  <si>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</si>
  <si>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</si>
  <si>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</si>
  <si>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</si>
  <si>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</si>
  <si>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</si>
  <si>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</si>
  <si>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</si>
  <si>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</si>
  <si>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</si>
  <si>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</si>
  <si>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</si>
  <si>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</si>
  <si>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</si>
  <si>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</si>
  <si>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</si>
  <si>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</si>
  <si>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</si>
  <si>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</si>
  <si>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</si>
  <si>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</si>
  <si>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</si>
  <si>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</si>
  <si>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</si>
  <si>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</si>
  <si>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</si>
  <si>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</si>
  <si>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</si>
  <si>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</si>
  <si>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</si>
  <si>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</si>
  <si>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</si>
  <si>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</si>
  <si>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</si>
  <si>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</si>
  <si>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</si>
  <si>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</si>
  <si>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</si>
  <si>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</si>
  <si>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</si>
  <si>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</si>
  <si>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</si>
  <si>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</si>
  <si>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</si>
  <si>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</si>
  <si>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</si>
  <si>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</si>
  <si>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</si>
  <si>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</si>
  <si>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</si>
  <si>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</si>
  <si>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</si>
  <si>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</si>
  <si>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</si>
  <si>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</si>
  <si>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</si>
  <si>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</si>
  <si>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</si>
  <si>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</si>
  <si>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</si>
  <si>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</si>
  <si>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</si>
  <si>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</si>
  <si>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</si>
  <si>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</si>
  <si>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</si>
  <si>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</si>
  <si>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</si>
  <si>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</si>
  <si>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</si>
  <si>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</si>
  <si>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</si>
  <si>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</si>
  <si>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</si>
  <si>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</si>
  <si>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</si>
  <si>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</si>
  <si>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</si>
  <si>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</si>
  <si>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</si>
  <si>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</si>
  <si>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</si>
  <si>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</si>
  <si>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</si>
  <si>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</si>
  <si>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</si>
  <si>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</si>
  <si>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</si>
  <si>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</si>
  <si>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</si>
  <si>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</si>
  <si>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</si>
  <si>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</si>
  <si>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</si>
  <si>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</si>
  <si>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</si>
  <si>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</si>
  <si>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</si>
  <si>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</si>
  <si>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</si>
  <si>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</si>
  <si>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</si>
  <si>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</si>
  <si>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</si>
  <si>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</si>
  <si>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</si>
  <si>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</si>
  <si>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</si>
  <si>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</si>
  <si>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</si>
  <si>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</si>
  <si>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</si>
  <si>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</si>
  <si>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</si>
  <si>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</si>
  <si>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</si>
  <si>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</si>
  <si>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</si>
  <si>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</si>
  <si>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</si>
  <si>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</si>
  <si>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</si>
  <si>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</si>
  <si>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</si>
  <si>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</si>
  <si>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</si>
  <si>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</si>
  <si>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</si>
  <si>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</si>
  <si>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</si>
  <si>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</si>
  <si>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</si>
  <si>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</si>
  <si>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</si>
  <si>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</si>
  <si>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</si>
  <si>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</si>
  <si>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</si>
  <si>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</si>
  <si>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</si>
  <si>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</si>
  <si>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</si>
  <si>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</si>
  <si>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</si>
  <si>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</si>
  <si>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</si>
  <si>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</si>
  <si>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</si>
  <si>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</si>
  <si>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</si>
  <si>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</si>
  <si>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</si>
  <si>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</si>
  <si>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</si>
  <si>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</si>
  <si>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</si>
  <si>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</si>
  <si>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</si>
  <si>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</si>
  <si>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</si>
  <si>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</si>
  <si>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</si>
  <si>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</si>
  <si>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</si>
  <si>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</si>
  <si>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</si>
  <si>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</si>
  <si>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</si>
  <si>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</si>
  <si>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</si>
  <si>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</si>
  <si>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</si>
  <si>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</si>
  <si>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</si>
  <si>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</si>
  <si>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</si>
  <si>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</si>
  <si>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</si>
  <si>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</si>
  <si>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</si>
  <si>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</si>
  <si>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</si>
  <si>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</si>
  <si>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</si>
  <si>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</si>
  <si>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</si>
  <si>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</si>
  <si>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</si>
  <si>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</si>
  <si>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</si>
  <si>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</si>
  <si>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</si>
  <si>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</si>
  <si>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</si>
  <si>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</si>
  <si>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</si>
  <si>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</si>
  <si>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</si>
  <si>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</si>
  <si>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</si>
  <si>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</si>
  <si>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</si>
  <si>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</si>
  <si>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</si>
  <si>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</si>
  <si>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</si>
  <si>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</si>
  <si>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</si>
  <si>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</si>
  <si>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</si>
  <si>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</si>
  <si>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</si>
  <si>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</si>
  <si>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</si>
  <si>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</si>
  <si>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</si>
  <si>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</si>
  <si>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</si>
  <si>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</si>
  <si>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</si>
  <si>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</si>
  <si>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</si>
  <si>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</si>
  <si>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</si>
  <si>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</si>
  <si>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</si>
  <si>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</si>
  <si>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</si>
  <si>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</si>
  <si>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</si>
  <si>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</si>
  <si>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</si>
  <si>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</si>
  <si>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</si>
  <si>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</si>
  <si>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</si>
  <si>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</si>
  <si>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</si>
  <si>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</si>
  <si>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</si>
  <si>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</si>
  <si>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</si>
  <si>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</si>
  <si>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</si>
  <si>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</si>
  <si>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</si>
  <si>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</si>
  <si>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</si>
  <si>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</si>
  <si>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</si>
  <si>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</si>
  <si>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</si>
  <si>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</si>
  <si>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</si>
  <si>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</si>
  <si>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</si>
  <si>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</si>
  <si>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</si>
  <si>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</si>
  <si>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</si>
  <si>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</si>
  <si>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</si>
  <si>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</si>
  <si>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</si>
  <si>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</si>
  <si>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</si>
  <si>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</si>
  <si>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</si>
  <si>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</si>
  <si>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</si>
  <si>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</si>
  <si>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</si>
  <si>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</si>
  <si>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</si>
  <si>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</si>
  <si>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</si>
  <si>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</si>
  <si>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</si>
  <si>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</si>
  <si>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</si>
  <si>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</si>
  <si>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</si>
  <si>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</si>
  <si>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</si>
  <si>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</si>
  <si>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</si>
  <si>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</si>
  <si>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</si>
  <si>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</si>
  <si>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</si>
  <si>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</si>
  <si>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</si>
  <si>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</si>
  <si>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</si>
  <si>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</si>
  <si>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</si>
  <si>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</si>
  <si>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</si>
  <si>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</si>
  <si>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</si>
  <si>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</si>
  <si>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</si>
  <si>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</si>
  <si>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</si>
  <si>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</si>
  <si>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</si>
  <si>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</si>
  <si>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</si>
  <si>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</si>
  <si>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</si>
  <si>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</si>
  <si>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</si>
  <si>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</si>
  <si>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</si>
  <si>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</si>
  <si>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</si>
  <si>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</si>
  <si>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</si>
  <si>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</si>
  <si>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</si>
  <si>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</si>
  <si>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</si>
  <si>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</si>
  <si>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</si>
  <si>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</si>
  <si>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</si>
  <si>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</si>
  <si>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</si>
  <si>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</si>
  <si>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</si>
  <si>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</si>
  <si>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</si>
  <si>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</si>
  <si>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</si>
  <si>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</si>
  <si>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</si>
  <si>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</si>
  <si>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</si>
  <si>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</si>
  <si>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</si>
  <si>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</si>
  <si>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</si>
  <si>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</si>
  <si>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</si>
  <si>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</si>
  <si>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</si>
  <si>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</si>
  <si>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</si>
  <si>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</si>
  <si>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</si>
  <si>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</si>
  <si>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</si>
  <si>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</si>
  <si>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</si>
  <si>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</si>
  <si>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</si>
  <si>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</si>
  <si>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</si>
  <si>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</si>
  <si>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</si>
  <si>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</si>
  <si>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</si>
  <si>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</si>
  <si>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</si>
  <si>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</si>
  <si>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</si>
  <si>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</si>
  <si>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</si>
  <si>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</si>
  <si>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</si>
  <si>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</si>
  <si>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</si>
  <si>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</si>
  <si>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</si>
  <si>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</si>
  <si>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</si>
  <si>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</si>
  <si>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</si>
  <si>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</si>
  <si>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</si>
  <si>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</si>
  <si>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</si>
  <si>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</si>
  <si>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</si>
  <si>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</si>
  <si>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</si>
  <si>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</si>
  <si>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</si>
  <si>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</si>
  <si>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</si>
  <si>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</si>
  <si>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</si>
  <si>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</si>
  <si>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</si>
  <si>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</si>
  <si>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</si>
  <si>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</si>
  <si>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</si>
  <si>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</si>
  <si>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</si>
  <si>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</si>
  <si>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</si>
  <si>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</si>
  <si>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</si>
  <si>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</si>
  <si>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</si>
  <si>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</si>
  <si>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</si>
  <si>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</si>
  <si>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</si>
  <si>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</si>
  <si>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</si>
  <si>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</si>
  <si>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</si>
  <si>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</si>
  <si>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</si>
  <si>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</si>
  <si>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</si>
  <si>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</si>
  <si>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</si>
  <si>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</si>
  <si>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</si>
  <si>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</si>
  <si>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</si>
  <si>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</si>
  <si>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</si>
  <si>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</si>
  <si>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</si>
  <si>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</si>
  <si>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</si>
  <si>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</si>
  <si>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</si>
  <si>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</si>
  <si>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</si>
  <si>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</si>
  <si>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</si>
  <si>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</si>
  <si>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</si>
  <si>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</si>
  <si>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</si>
  <si>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</si>
  <si>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</si>
  <si>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</si>
  <si>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</si>
  <si>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</si>
  <si>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</si>
  <si>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</si>
  <si>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</si>
  <si>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</si>
  <si>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</si>
  <si>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</si>
  <si>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</si>
  <si>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</si>
  <si>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</si>
  <si>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</si>
  <si>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</si>
  <si>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</si>
  <si>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</si>
  <si>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</si>
  <si>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</si>
  <si>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</si>
  <si>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</si>
  <si>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</si>
  <si>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</si>
  <si>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</si>
  <si>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</si>
  <si>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</si>
  <si>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</si>
  <si>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</si>
  <si>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</si>
  <si>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</si>
  <si>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</si>
  <si>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</si>
  <si>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</si>
  <si>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</si>
  <si>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</si>
  <si>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</si>
  <si>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</si>
  <si>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</si>
  <si>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</si>
  <si>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</si>
  <si>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</si>
  <si>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</si>
  <si>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</si>
  <si>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</si>
  <si>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</si>
  <si>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</si>
  <si>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</si>
  <si>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</si>
  <si>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</si>
  <si>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</si>
  <si>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</si>
  <si>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</si>
  <si>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</si>
  <si>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</si>
  <si>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</si>
  <si>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</si>
  <si>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</si>
  <si>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</si>
  <si>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</si>
  <si>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</si>
  <si>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</si>
  <si>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</si>
  <si>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</si>
  <si>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</si>
  <si>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</si>
  <si>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</si>
  <si>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</si>
  <si>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</si>
  <si>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</si>
  <si>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</si>
  <si>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</si>
  <si>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</si>
  <si>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</si>
  <si>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</si>
  <si>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</si>
  <si>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</si>
  <si>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</si>
  <si>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</si>
  <si>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</si>
  <si>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</si>
  <si>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</si>
  <si>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</si>
  <si>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</si>
  <si>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</si>
  <si>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</si>
  <si>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</si>
  <si>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</si>
  <si>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</si>
  <si>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</si>
  <si>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</si>
  <si>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</si>
  <si>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</si>
  <si>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</si>
  <si>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</si>
  <si>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</si>
  <si>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</si>
  <si>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</si>
  <si>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</si>
  <si>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</si>
  <si>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</si>
  <si>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</si>
  <si>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</si>
  <si>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</si>
  <si>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</si>
  <si>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</si>
  <si>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</si>
  <si>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</si>
  <si>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</si>
  <si>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</si>
  <si>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</si>
  <si>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</si>
  <si>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</si>
  <si>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</si>
  <si>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</si>
  <si>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</si>
  <si>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</si>
  <si>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</si>
  <si>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</si>
  <si>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</si>
  <si>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</si>
  <si>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</si>
  <si>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</si>
  <si>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</si>
  <si>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</si>
  <si>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</si>
  <si>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</si>
  <si>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</si>
  <si>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</si>
  <si>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</si>
  <si>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</si>
  <si>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</si>
  <si>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</si>
  <si>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</si>
  <si>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</si>
  <si>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</si>
  <si>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</si>
  <si>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</si>
  <si>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</si>
  <si>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</si>
  <si>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</si>
  <si>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</si>
  <si>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</si>
  <si>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</si>
  <si>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</si>
  <si>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</si>
  <si>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</si>
  <si>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</si>
  <si>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</si>
  <si>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</si>
  <si>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</si>
  <si>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</si>
  <si>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</si>
  <si>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</si>
  <si>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</si>
  <si>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</si>
  <si>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</si>
  <si>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</si>
  <si>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</si>
  <si>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</si>
  <si>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</si>
  <si>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</si>
  <si>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</si>
  <si>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</si>
  <si>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</si>
  <si>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</si>
  <si>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</si>
  <si>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</si>
  <si>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</si>
  <si>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</si>
  <si>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</si>
  <si>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</si>
  <si>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</si>
  <si>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</si>
  <si>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</si>
  <si>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</si>
  <si>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</si>
  <si>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</si>
  <si>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</si>
  <si>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</si>
  <si>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</si>
  <si>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</si>
  <si>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</si>
  <si>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</si>
  <si>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</si>
  <si>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</si>
  <si>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</si>
  <si>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</si>
  <si>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</si>
  <si>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</si>
  <si>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</si>
  <si>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</si>
  <si>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</si>
  <si>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</si>
  <si>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</si>
  <si>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</si>
  <si>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</si>
  <si>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</si>
  <si>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</si>
  <si>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</si>
  <si>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</si>
  <si>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</si>
  <si>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</si>
  <si>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</si>
  <si>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</si>
  <si>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</si>
  <si>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</si>
  <si>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</si>
  <si>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</si>
  <si>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</si>
  <si>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</si>
  <si>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</si>
  <si>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</si>
  <si>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</si>
  <si>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</si>
  <si>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</si>
  <si>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</si>
  <si>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</si>
  <si>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</si>
  <si>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</si>
  <si>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</si>
  <si>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</si>
  <si>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</si>
  <si>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</si>
  <si>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</si>
  <si>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</si>
  <si>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</si>
  <si>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</si>
  <si>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</si>
  <si>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</si>
  <si>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</si>
  <si>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</si>
  <si>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</si>
  <si>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</si>
  <si>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</si>
  <si>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</si>
  <si>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</si>
  <si>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</si>
  <si>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</si>
  <si>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</si>
  <si>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</si>
  <si>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</si>
  <si>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</si>
  <si>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</si>
  <si>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</si>
  <si>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</si>
  <si>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</si>
  <si>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</si>
  <si>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</si>
  <si>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</si>
  <si>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</si>
  <si>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</si>
  <si>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</si>
  <si>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</si>
  <si>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</si>
  <si>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</si>
  <si>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</si>
  <si>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</si>
  <si>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</si>
  <si>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</si>
  <si>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</si>
  <si>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</si>
  <si>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</si>
  <si>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</si>
  <si>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</si>
  <si>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</si>
  <si>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</si>
  <si>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</si>
  <si>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</si>
  <si>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</si>
  <si>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</si>
  <si>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</si>
  <si>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</si>
  <si>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</si>
  <si>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</si>
  <si>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</si>
  <si>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</si>
  <si>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</si>
  <si>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</si>
  <si>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</si>
  <si>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</si>
  <si>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</si>
  <si>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</si>
  <si>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</si>
  <si>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</si>
  <si>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</si>
  <si>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</si>
  <si>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</si>
  <si>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</si>
  <si>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</si>
  <si>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</si>
  <si>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</si>
  <si>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</si>
  <si>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</si>
  <si>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</si>
  <si>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</si>
  <si>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</si>
  <si>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</si>
  <si>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</si>
  <si>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</si>
  <si>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</si>
  <si>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</si>
  <si>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</si>
  <si>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</si>
  <si>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</si>
  <si>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</si>
  <si>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</si>
  <si>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</si>
  <si>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</si>
  <si>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</si>
  <si>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</si>
  <si>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</si>
  <si>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</si>
  <si>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</si>
  <si>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</si>
  <si>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</si>
  <si>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</si>
  <si>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</si>
  <si>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</si>
  <si>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</si>
  <si>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</si>
  <si>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</si>
  <si>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</si>
  <si>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</si>
  <si>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</si>
  <si>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</si>
  <si>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</si>
  <si>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</si>
  <si>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</si>
  <si>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</si>
  <si>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</si>
  <si>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</si>
  <si>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</si>
  <si>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</si>
  <si>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</si>
  <si>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</si>
  <si>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</si>
  <si>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</si>
  <si>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</si>
  <si>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</si>
  <si>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</si>
  <si>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</si>
  <si>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</si>
  <si>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</si>
  <si>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</si>
  <si>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</si>
  <si>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</si>
  <si>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</si>
  <si>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</si>
  <si>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</si>
  <si>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</si>
  <si>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</si>
  <si>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</si>
  <si>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</si>
  <si>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</si>
  <si>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</si>
  <si>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</si>
  <si>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</si>
  <si>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</si>
  <si>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</si>
  <si>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</si>
  <si>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</si>
  <si>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</si>
  <si>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</si>
  <si>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</si>
  <si>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</si>
  <si>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</si>
  <si>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</si>
  <si>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</si>
  <si>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</si>
  <si>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</si>
  <si>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</si>
  <si>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</si>
  <si>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</si>
  <si>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</si>
  <si>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</si>
  <si>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</si>
  <si>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</si>
  <si>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</si>
  <si>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</si>
  <si>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</si>
  <si>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</si>
  <si>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</si>
  <si>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</si>
  <si>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</si>
  <si>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</si>
  <si>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</si>
  <si>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</si>
  <si>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</si>
  <si>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</si>
  <si>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</si>
  <si>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</si>
  <si>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</si>
  <si>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</si>
  <si>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</si>
  <si>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</si>
  <si>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</si>
  <si>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</si>
  <si>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</si>
  <si>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</si>
  <si>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</si>
  <si>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</si>
  <si>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</si>
  <si>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</si>
  <si>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</si>
  <si>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</si>
  <si>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</si>
  <si>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</si>
  <si>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</si>
  <si>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</si>
  <si>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</si>
  <si>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</si>
  <si>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</si>
  <si>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</si>
  <si>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</si>
  <si>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</si>
  <si>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</si>
  <si>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</si>
  <si>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</si>
  <si>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</si>
  <si>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</si>
  <si>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</si>
  <si>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</si>
  <si>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</si>
  <si>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</si>
  <si>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</si>
  <si>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</si>
  <si>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</si>
  <si>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</si>
  <si>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</si>
  <si>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</si>
  <si>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</si>
  <si>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</si>
  <si>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</si>
  <si>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</si>
  <si>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</si>
  <si>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</si>
  <si>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</si>
  <si>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</si>
  <si>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</si>
  <si>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</si>
  <si>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</si>
  <si>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</si>
  <si>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</si>
  <si>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</si>
  <si>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</si>
  <si>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</si>
  <si>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</si>
  <si>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</si>
  <si>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</si>
  <si>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</si>
  <si>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</si>
  <si>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</si>
  <si>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</si>
  <si>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</si>
  <si>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</si>
  <si>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</si>
  <si>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</si>
  <si>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</si>
  <si>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</si>
  <si>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</si>
  <si>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</si>
  <si>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</si>
  <si>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</si>
  <si>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</si>
  <si>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</si>
  <si>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</si>
  <si>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</si>
  <si>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</si>
  <si>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</si>
  <si>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</si>
  <si>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</si>
  <si>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</si>
  <si>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</si>
  <si>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</si>
  <si>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</si>
  <si>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</si>
  <si>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</si>
  <si>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</si>
  <si>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</si>
  <si>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</si>
  <si>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</si>
  <si>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</si>
  <si>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</si>
  <si>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</si>
  <si>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</si>
  <si>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</si>
  <si>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</si>
  <si>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</si>
  <si>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</si>
  <si>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</si>
  <si>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</si>
  <si>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</si>
  <si>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</si>
  <si>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</si>
  <si>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</si>
  <si>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</si>
  <si>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</si>
  <si>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</si>
  <si>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</si>
  <si>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</si>
  <si>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</si>
  <si>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</si>
  <si>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</si>
  <si>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</si>
  <si>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</si>
  <si>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</si>
  <si>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</si>
  <si>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</si>
  <si>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</si>
  <si>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</si>
  <si>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</si>
  <si>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</si>
  <si>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</si>
  <si>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</si>
  <si>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</si>
  <si>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</si>
  <si>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</si>
  <si>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</si>
  <si>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</si>
  <si>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</si>
  <si>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</si>
  <si>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</si>
  <si>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</si>
  <si>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</si>
  <si>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</si>
  <si>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</si>
  <si>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</si>
  <si>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</si>
  <si>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</si>
  <si>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</si>
  <si>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</si>
  <si>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</si>
  <si>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</si>
  <si>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</si>
  <si>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</si>
  <si>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</si>
  <si>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</si>
  <si>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</si>
  <si>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</si>
  <si>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</si>
  <si>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</si>
  <si>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</si>
  <si>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</si>
  <si>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</si>
  <si>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</si>
  <si>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</si>
  <si>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</si>
  <si>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</si>
  <si>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</si>
  <si>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</si>
  <si>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</si>
  <si>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</si>
  <si>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</si>
  <si>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</si>
  <si>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</si>
  <si>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</si>
  <si>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</si>
  <si>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</si>
  <si>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</si>
  <si>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</si>
  <si>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</si>
  <si>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</si>
  <si>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</si>
  <si>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</si>
  <si>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</si>
  <si>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</si>
  <si>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</si>
  <si>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</si>
  <si>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</si>
  <si>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</si>
  <si>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</si>
  <si>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</si>
  <si>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</si>
  <si>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</si>
  <si>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</si>
  <si>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</si>
  <si>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</si>
  <si>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</si>
  <si>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</si>
  <si>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</si>
  <si>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</si>
  <si>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</si>
  <si>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</si>
  <si>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</si>
  <si>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</si>
  <si>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</si>
  <si>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</si>
  <si>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</si>
  <si>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</si>
  <si>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</si>
  <si>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</si>
  <si>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</si>
  <si>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</si>
  <si>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</si>
  <si>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</si>
  <si>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</si>
  <si>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</si>
  <si>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</si>
  <si>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</si>
  <si>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</si>
  <si>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</si>
  <si>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</si>
  <si>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</si>
  <si>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</si>
  <si>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</si>
  <si>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</si>
  <si>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</si>
  <si>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</si>
  <si>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</si>
  <si>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</si>
  <si>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</si>
  <si>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</si>
  <si>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</si>
  <si>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</si>
  <si>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</si>
  <si>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</si>
  <si>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</si>
  <si>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</si>
  <si>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</si>
  <si>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</si>
  <si>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</si>
  <si>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</si>
  <si>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</si>
  <si>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</si>
  <si>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</si>
  <si>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</si>
  <si>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</si>
  <si>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</si>
  <si>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</si>
  <si>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</si>
  <si>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</si>
  <si>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</si>
  <si>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</si>
  <si>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</si>
  <si>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</si>
  <si>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</si>
  <si>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</si>
  <si>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</si>
  <si>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</si>
  <si>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</si>
  <si>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</si>
  <si>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</si>
  <si>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</si>
  <si>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</si>
  <si>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</si>
  <si>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</si>
  <si>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</si>
  <si>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</si>
  <si>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</si>
  <si>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</si>
  <si>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</si>
  <si>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</si>
  <si>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</si>
  <si>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</si>
  <si>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</si>
  <si>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</si>
  <si>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</si>
  <si>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</si>
  <si>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</si>
  <si>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</si>
  <si>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</si>
  <si>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</si>
  <si>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</si>
  <si>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</si>
  <si>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</si>
  <si>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</si>
  <si>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</si>
  <si>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</si>
  <si>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</si>
  <si>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</si>
  <si>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</si>
  <si>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</si>
  <si>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</si>
  <si>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</si>
  <si>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</si>
  <si>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</si>
  <si>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</si>
  <si>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</si>
  <si>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</si>
  <si>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</si>
  <si>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</si>
  <si>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</si>
  <si>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</si>
  <si>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</si>
  <si>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</si>
  <si>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</si>
  <si>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</si>
  <si>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</si>
  <si>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</si>
  <si>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</si>
  <si>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</si>
  <si>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</si>
  <si>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</si>
  <si>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</si>
  <si>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</si>
  <si>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</si>
  <si>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</si>
  <si>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</si>
  <si>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</si>
  <si>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</si>
  <si>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</si>
  <si>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</si>
  <si>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</si>
  <si>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</si>
  <si>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</si>
  <si>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</si>
  <si>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</si>
  <si>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</si>
  <si>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</si>
  <si>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</si>
  <si>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</si>
  <si>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</si>
  <si>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</si>
  <si>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</si>
  <si>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</si>
  <si>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</si>
  <si>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</si>
  <si>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</si>
  <si>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</si>
  <si>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</si>
  <si>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</si>
  <si>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</si>
  <si>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</si>
  <si>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</si>
  <si>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</si>
  <si>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</si>
  <si>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</si>
  <si>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</si>
  <si>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</si>
  <si>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</si>
  <si>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</si>
  <si>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</si>
  <si>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</si>
  <si>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</si>
  <si>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</si>
  <si>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</si>
  <si>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</si>
  <si>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</si>
  <si>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</si>
  <si>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</si>
  <si>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</si>
  <si>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</si>
  <si>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</si>
  <si>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</si>
  <si>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</si>
  <si>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</si>
  <si>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</si>
  <si>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</si>
  <si>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</si>
  <si>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</si>
  <si>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</si>
  <si>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</si>
  <si>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</si>
  <si>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</si>
  <si>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</si>
  <si>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</si>
  <si>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</si>
  <si>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</si>
  <si>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</si>
  <si>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</si>
  <si>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</si>
  <si>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</si>
  <si>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</si>
  <si>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</si>
  <si>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</si>
  <si>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</si>
  <si>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</si>
  <si>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</si>
  <si>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</si>
  <si>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</si>
  <si>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</si>
  <si>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</si>
  <si>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</si>
  <si>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</si>
  <si>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</si>
  <si>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</si>
  <si>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</si>
  <si>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</si>
  <si>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</si>
  <si>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</si>
  <si>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</si>
  <si>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</si>
  <si>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</si>
  <si>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</si>
  <si>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</si>
  <si>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</si>
  <si>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</si>
  <si>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</si>
  <si>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</si>
  <si>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</si>
  <si>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</si>
  <si>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</si>
  <si>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</si>
  <si>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</si>
  <si>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</si>
  <si>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</si>
  <si>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</si>
  <si>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</si>
  <si>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</si>
  <si>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</si>
  <si>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</si>
  <si>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</si>
  <si>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</si>
  <si>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</si>
  <si>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</si>
  <si>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</si>
  <si>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</si>
  <si>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</si>
  <si>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</si>
  <si>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</si>
  <si>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</si>
  <si>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</si>
  <si>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</si>
  <si>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</si>
  <si>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</si>
  <si>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</si>
  <si>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</si>
  <si>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</si>
  <si>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</si>
  <si>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</si>
  <si>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</si>
  <si>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</si>
  <si>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</si>
  <si>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</si>
  <si>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</si>
  <si>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</si>
  <si>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</si>
  <si>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</si>
  <si>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</si>
  <si>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</si>
  <si>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</si>
  <si>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</si>
  <si>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</si>
  <si>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</si>
  <si>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</si>
  <si>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</si>
  <si>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</si>
  <si>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</si>
  <si>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</si>
  <si>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</si>
  <si>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</si>
  <si>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</si>
  <si>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</si>
  <si>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</si>
  <si>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</si>
  <si>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</si>
  <si>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</si>
  <si>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</si>
  <si>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</si>
  <si>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</si>
  <si>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</si>
  <si>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</si>
  <si>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</si>
  <si>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</si>
  <si>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</si>
  <si>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</si>
  <si>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</si>
  <si>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</si>
  <si>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</si>
  <si>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</si>
  <si>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</si>
  <si>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</si>
  <si>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</si>
  <si>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</si>
  <si>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</si>
  <si>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</si>
  <si>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</si>
  <si>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</si>
  <si>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</si>
  <si>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</si>
  <si>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</si>
  <si>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</si>
  <si>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</si>
  <si>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</si>
  <si>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</si>
  <si>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</si>
  <si>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</si>
  <si>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</si>
  <si>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</si>
  <si>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</si>
  <si>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</si>
  <si>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</si>
  <si>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</si>
  <si>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</si>
  <si>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</si>
  <si>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</si>
  <si>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</si>
  <si>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</si>
  <si>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</si>
  <si>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</si>
  <si>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</si>
  <si>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</si>
  <si>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</si>
  <si>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</si>
  <si>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</si>
  <si>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</si>
  <si>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</si>
  <si>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</si>
  <si>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</si>
  <si>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</si>
  <si>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</si>
  <si>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</si>
  <si>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</si>
  <si>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</si>
  <si>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</si>
  <si>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</si>
  <si>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</si>
  <si>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</si>
  <si>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</si>
  <si>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</si>
  <si>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</si>
  <si>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</si>
  <si>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</si>
  <si>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</si>
  <si>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</si>
  <si>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</si>
  <si>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</si>
  <si>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</si>
  <si>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</si>
  <si>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</si>
  <si>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</si>
  <si>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</si>
  <si>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</si>
  <si>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</si>
  <si>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</si>
  <si>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</si>
  <si>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</si>
  <si>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</si>
  <si>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</si>
  <si>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</si>
  <si>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</si>
  <si>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</si>
  <si>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</si>
  <si>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</si>
  <si>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</si>
  <si>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</si>
  <si>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</si>
  <si>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</si>
  <si>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</si>
  <si>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</si>
  <si>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</si>
  <si>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</si>
  <si>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</si>
  <si>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</si>
  <si>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</si>
  <si>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</si>
  <si>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</si>
  <si>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</si>
  <si>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</si>
  <si>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</si>
  <si>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</si>
  <si>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</si>
  <si>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</si>
  <si>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</si>
  <si>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</si>
  <si>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</si>
  <si>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</si>
  <si>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</si>
  <si>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</si>
  <si>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</si>
  <si>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</si>
  <si>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</si>
  <si>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</si>
  <si>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</si>
  <si>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</si>
  <si>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</si>
  <si>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</si>
  <si>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</si>
  <si>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</si>
  <si>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</si>
  <si>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</si>
  <si>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</si>
  <si>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</si>
  <si>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</si>
  <si>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</si>
  <si>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</si>
  <si>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</si>
  <si>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</si>
  <si>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</si>
  <si>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</si>
  <si>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</si>
  <si>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</si>
  <si>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</si>
  <si>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</si>
  <si>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</si>
  <si>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</si>
  <si>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</si>
  <si>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</si>
  <si>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</si>
  <si>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</si>
  <si>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</si>
  <si>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</si>
  <si>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</si>
  <si>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</si>
  <si>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</si>
  <si>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</si>
  <si>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</si>
  <si>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</si>
  <si>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</si>
  <si>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</si>
  <si>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</si>
  <si>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</si>
  <si>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</si>
  <si>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</si>
  <si>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</si>
  <si>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</si>
  <si>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</si>
  <si>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</si>
  <si>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</si>
  <si>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</si>
  <si>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</si>
  <si>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</si>
  <si>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</si>
  <si>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</si>
  <si>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</si>
  <si>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</si>
  <si>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</si>
  <si>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</si>
  <si>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</si>
  <si>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</si>
  <si>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</si>
  <si>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</si>
  <si>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</si>
  <si>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</si>
  <si>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</si>
  <si>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</si>
  <si>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</si>
  <si>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</si>
  <si>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</si>
  <si>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</si>
  <si>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</si>
  <si>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</si>
  <si>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</si>
  <si>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</si>
  <si>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</si>
  <si>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</si>
  <si>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</si>
  <si>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</si>
  <si>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</si>
  <si>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</si>
  <si>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</si>
  <si>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</si>
  <si>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</si>
  <si>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</si>
  <si>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</si>
  <si>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</si>
  <si>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</si>
  <si>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</si>
  <si>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</si>
  <si>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</si>
  <si>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</si>
  <si>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</si>
  <si>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</si>
  <si>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</si>
  <si>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</si>
  <si>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</si>
  <si>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</si>
  <si>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</si>
  <si>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</si>
  <si>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</si>
  <si>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</si>
  <si>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</si>
  <si>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</si>
  <si>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</si>
  <si>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</si>
  <si>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</si>
  <si>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</si>
  <si>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</si>
  <si>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</si>
  <si>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</si>
  <si>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</si>
  <si>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</si>
  <si>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</si>
  <si>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</si>
  <si>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</si>
  <si>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</si>
  <si>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</si>
  <si>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</si>
  <si>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</si>
  <si>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</si>
  <si>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</si>
  <si>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</si>
  <si>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</si>
  <si>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</si>
  <si>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</si>
  <si>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</si>
  <si>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</si>
  <si>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</si>
  <si>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</si>
  <si>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</si>
  <si>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</si>
  <si>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</si>
  <si>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</si>
  <si>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</si>
  <si>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</si>
  <si>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</si>
  <si>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</si>
  <si>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</si>
  <si>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</si>
  <si>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</si>
  <si>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</si>
  <si>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</si>
  <si>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</si>
  <si>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</si>
  <si>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</si>
  <si>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</si>
  <si>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</si>
  <si>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</si>
  <si>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</si>
  <si>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</si>
  <si>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</si>
  <si>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</si>
  <si>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</si>
  <si>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</si>
  <si>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</si>
  <si>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</si>
  <si>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</si>
  <si>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</si>
  <si>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</si>
  <si>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</si>
  <si>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</si>
  <si>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</si>
  <si>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</si>
  <si>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</si>
  <si>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</si>
  <si>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</si>
  <si>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</si>
  <si>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</si>
  <si>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</si>
  <si>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</si>
  <si>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</si>
  <si>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</si>
  <si>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</si>
  <si>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</si>
  <si>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</si>
  <si>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</si>
  <si>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</si>
  <si>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</si>
  <si>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</si>
  <si>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</si>
  <si>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</si>
  <si>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</si>
  <si>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</si>
  <si>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</si>
  <si>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</si>
  <si>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</si>
  <si>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</si>
  <si>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</si>
  <si>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</si>
  <si>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</si>
  <si>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</si>
  <si>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</si>
  <si>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</si>
  <si>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</si>
  <si>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</si>
  <si>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</si>
  <si>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</si>
  <si>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</si>
  <si>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</si>
  <si>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</si>
  <si>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</si>
  <si>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</si>
  <si>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</si>
  <si>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</si>
  <si>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</si>
  <si>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</si>
  <si>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</si>
  <si>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</si>
  <si>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</si>
  <si>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</si>
  <si>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</si>
  <si>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</si>
  <si>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</si>
  <si>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</si>
  <si>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</si>
  <si>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</si>
  <si>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</si>
  <si>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</si>
  <si>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</si>
  <si>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</si>
  <si>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</si>
  <si>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</si>
  <si>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</si>
  <si>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</si>
  <si>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</si>
  <si>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</si>
  <si>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</si>
  <si>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</si>
  <si>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</si>
  <si>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</si>
  <si>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</si>
  <si>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</si>
  <si>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</si>
  <si>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</si>
  <si>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</si>
  <si>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</si>
  <si>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</si>
  <si>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</si>
  <si>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</si>
  <si>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</si>
  <si>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</si>
  <si>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</si>
  <si>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</si>
  <si>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</si>
  <si>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</si>
  <si>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</si>
  <si>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</si>
  <si>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</si>
  <si>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</si>
  <si>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</si>
  <si>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</si>
  <si>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</si>
  <si>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</si>
  <si>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</si>
  <si>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</si>
  <si>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</si>
  <si>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</si>
  <si>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</si>
  <si>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</si>
  <si>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</si>
  <si>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</si>
  <si>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</si>
  <si>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</si>
  <si>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</si>
  <si>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</si>
  <si>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</si>
  <si>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</si>
  <si>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</si>
  <si>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</si>
  <si>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</si>
  <si>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</si>
  <si>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</si>
  <si>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</si>
  <si>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</si>
  <si>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</si>
  <si>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</si>
  <si>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</si>
  <si>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</si>
  <si>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</si>
  <si>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</si>
  <si>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</si>
  <si>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</si>
  <si>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</si>
  <si>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</si>
  <si>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</si>
  <si>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</si>
  <si>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</si>
  <si>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</si>
  <si>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</si>
  <si>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</si>
  <si>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</si>
  <si>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</si>
  <si>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</si>
  <si>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</si>
  <si>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</si>
  <si>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</si>
  <si>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</si>
  <si>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</si>
  <si>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</si>
  <si>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</si>
  <si>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</si>
  <si>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</si>
  <si>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</si>
  <si>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</si>
  <si>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</si>
  <si>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</si>
  <si>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</si>
  <si>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</si>
  <si>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</si>
  <si>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</si>
  <si>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</si>
  <si>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</si>
  <si>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</si>
  <si>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</si>
  <si>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</si>
  <si>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</si>
  <si>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</si>
  <si>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</si>
  <si>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</si>
  <si>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</si>
  <si>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</si>
  <si>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</si>
  <si>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</si>
  <si>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</si>
  <si>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</si>
  <si>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</si>
  <si>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</si>
  <si>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</si>
  <si>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</si>
  <si>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</si>
  <si>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</si>
  <si>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</si>
  <si>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</si>
  <si>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</si>
  <si>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</si>
  <si>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</si>
  <si>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</si>
  <si>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</si>
  <si>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</si>
  <si>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</si>
  <si>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</si>
  <si>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</si>
  <si>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</si>
  <si>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</si>
  <si>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</si>
  <si>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</si>
  <si>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</si>
  <si>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</si>
  <si>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</si>
  <si>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</si>
  <si>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</si>
  <si>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</si>
  <si>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</si>
  <si>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</si>
  <si>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</si>
  <si>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</si>
  <si>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</si>
  <si>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</si>
  <si>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</si>
  <si>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</si>
  <si>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</si>
  <si>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</si>
  <si>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</si>
  <si>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</si>
  <si>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</si>
  <si>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</si>
  <si>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</si>
  <si>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</si>
  <si>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</si>
  <si>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</si>
  <si>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</si>
  <si>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</si>
  <si>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</si>
  <si>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</si>
  <si>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</si>
  <si>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</si>
  <si>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</si>
  <si>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</si>
  <si>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</si>
  <si>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</si>
  <si>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</si>
  <si>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</si>
  <si>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</si>
  <si>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</si>
  <si>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</si>
  <si>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</si>
  <si>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</si>
  <si>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</si>
  <si>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</si>
  <si>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</si>
  <si>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</si>
  <si>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</si>
  <si>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</si>
  <si>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</si>
  <si>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</si>
  <si>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</si>
  <si>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</si>
  <si>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</si>
  <si>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</si>
  <si>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</si>
  <si>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</si>
  <si>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</si>
  <si>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</si>
  <si>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</si>
  <si>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</si>
  <si>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</si>
  <si>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</si>
  <si>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</si>
  <si>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</si>
  <si>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</si>
  <si>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</si>
  <si>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</si>
  <si>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</si>
  <si>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</si>
  <si>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</si>
  <si>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</si>
  <si>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</si>
  <si>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</si>
  <si>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</si>
  <si>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</si>
  <si>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</si>
  <si>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</si>
  <si>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</si>
  <si>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</si>
  <si>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</si>
  <si>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</si>
  <si>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</si>
  <si>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</si>
  <si>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</si>
  <si>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</si>
  <si>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</si>
  <si>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</si>
  <si>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</si>
  <si>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</si>
  <si>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</si>
  <si>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</si>
  <si>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</si>
  <si>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</si>
  <si>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</si>
  <si>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</si>
  <si>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</si>
  <si>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</si>
  <si>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</si>
  <si>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</si>
  <si>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</si>
  <si>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</si>
  <si>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</si>
  <si>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</si>
  <si>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</si>
  <si>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</si>
  <si>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</si>
  <si>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</si>
  <si>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</si>
  <si>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</si>
  <si>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</si>
  <si>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</si>
  <si>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</si>
  <si>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</si>
  <si>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</si>
  <si>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</si>
  <si>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</si>
  <si>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</si>
  <si>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</si>
  <si>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</si>
  <si>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</si>
  <si>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</si>
  <si>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</si>
  <si>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</si>
  <si>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</si>
  <si>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</si>
  <si>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</si>
  <si>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</si>
  <si>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</si>
  <si>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</si>
  <si>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</si>
  <si>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</si>
  <si>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</si>
  <si>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</si>
  <si>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</si>
  <si>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</si>
  <si>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</si>
  <si>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</si>
  <si>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</si>
  <si>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</si>
  <si>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</si>
  <si>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</si>
  <si>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</si>
  <si>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</si>
  <si>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</si>
  <si>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</si>
  <si>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</si>
  <si>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</si>
  <si>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</si>
  <si>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</si>
  <si>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</si>
  <si>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</si>
  <si>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</si>
  <si>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</si>
  <si>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</si>
  <si>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</si>
  <si>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</si>
  <si>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</si>
  <si>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</si>
  <si>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</si>
  <si>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</si>
  <si>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</si>
  <si>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</si>
  <si>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</si>
  <si>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</si>
  <si>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</si>
  <si>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</si>
  <si>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</si>
  <si>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</si>
  <si>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</si>
  <si>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</si>
  <si>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</si>
  <si>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</si>
  <si>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</si>
  <si>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</si>
  <si>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</si>
  <si>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</si>
  <si>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</si>
  <si>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</si>
  <si>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</si>
  <si>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</si>
  <si>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</si>
  <si>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</si>
  <si>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</si>
  <si>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</si>
  <si>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</si>
  <si>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</si>
  <si>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</si>
  <si>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</si>
  <si>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</si>
  <si>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</si>
  <si>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</si>
  <si>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</si>
  <si>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</si>
  <si>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</si>
  <si>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</si>
  <si>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</si>
  <si>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</si>
  <si>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</si>
  <si>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</si>
  <si>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</si>
  <si>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</si>
  <si>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</si>
  <si>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</si>
  <si>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</si>
  <si>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</si>
  <si>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</si>
  <si>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</si>
  <si>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</si>
  <si>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</si>
  <si>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</si>
  <si>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</si>
  <si>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</si>
  <si>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</si>
  <si>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</si>
  <si>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</si>
  <si>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</si>
  <si>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</si>
  <si>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</si>
  <si>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</si>
  <si>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</si>
  <si>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</si>
  <si>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</si>
  <si>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</si>
  <si>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</si>
  <si>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</si>
  <si>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</si>
  <si>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</si>
  <si>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</si>
  <si>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</si>
  <si>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</si>
  <si>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</si>
  <si>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</si>
  <si>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</si>
  <si>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</si>
  <si>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</si>
  <si>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</si>
  <si>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</si>
  <si>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</si>
  <si>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</si>
  <si>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</si>
  <si>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</si>
  <si>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</si>
  <si>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</si>
  <si>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</si>
  <si>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</si>
  <si>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</si>
  <si>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</si>
  <si>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</si>
  <si>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</si>
  <si>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</si>
  <si>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</si>
  <si>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</si>
  <si>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</si>
  <si>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</si>
  <si>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</si>
  <si>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</si>
  <si>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</si>
  <si>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</si>
  <si>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</si>
  <si>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</si>
  <si>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</si>
  <si>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</si>
  <si>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</si>
  <si>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</si>
  <si>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</si>
  <si>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</si>
  <si>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</si>
  <si>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</si>
  <si>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</si>
  <si>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</si>
  <si>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</si>
  <si>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</si>
  <si>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</si>
  <si>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</si>
  <si>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</si>
  <si>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</si>
  <si>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</si>
  <si>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</si>
  <si>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</si>
  <si>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</si>
  <si>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</si>
  <si>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</si>
  <si>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</si>
  <si>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</si>
  <si>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</si>
  <si>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</si>
  <si>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</si>
  <si>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</si>
  <si>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</si>
  <si>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</si>
  <si>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</si>
  <si>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</si>
  <si>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</si>
  <si>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</si>
  <si>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</si>
  <si>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</si>
  <si>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</si>
  <si>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</si>
  <si>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</si>
  <si>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</si>
  <si>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</si>
  <si>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</si>
  <si>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</si>
  <si>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</si>
  <si>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</si>
  <si>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</si>
  <si>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</si>
  <si>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</si>
  <si>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</si>
  <si>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</si>
  <si>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</si>
  <si>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</si>
  <si>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</si>
  <si>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</si>
  <si>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</si>
  <si>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</si>
  <si>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</si>
  <si>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</si>
  <si>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</si>
  <si>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</si>
  <si>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</si>
  <si>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</si>
  <si>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</si>
  <si>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</si>
  <si>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</si>
  <si>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</si>
  <si>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</si>
  <si>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</si>
  <si>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</si>
  <si>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</si>
  <si>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</si>
  <si>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</si>
  <si>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</si>
  <si>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</si>
  <si>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</si>
  <si>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</si>
  <si>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</si>
  <si>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</si>
  <si>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</si>
  <si>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</si>
  <si>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</si>
  <si>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</si>
  <si>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</si>
  <si>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</si>
  <si>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</si>
  <si>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</si>
  <si>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</si>
  <si>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</si>
  <si>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</si>
  <si>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</si>
  <si>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</si>
  <si>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</si>
  <si>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</si>
  <si>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</si>
  <si>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</si>
  <si>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</si>
  <si>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</si>
  <si>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</si>
  <si>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</si>
  <si>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</si>
  <si>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</si>
  <si>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</si>
  <si>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</si>
  <si>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</si>
  <si>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</si>
  <si>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</si>
  <si>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</si>
  <si>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</si>
  <si>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</si>
  <si>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</si>
  <si>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</si>
  <si>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</si>
  <si>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</si>
  <si>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</si>
  <si>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</si>
  <si>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</si>
  <si>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</si>
  <si>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</si>
  <si>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</si>
  <si>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</si>
  <si>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</si>
  <si>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</si>
  <si>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</si>
  <si>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</si>
  <si>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</si>
  <si>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</si>
  <si>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</si>
  <si>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</si>
  <si>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</si>
  <si>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</si>
  <si>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</si>
  <si>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</si>
  <si>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</si>
  <si>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</si>
  <si>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</si>
  <si>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</si>
  <si>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</si>
  <si>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</si>
  <si>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</si>
  <si>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</si>
  <si>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</si>
  <si>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</si>
  <si>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</si>
  <si>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</si>
  <si>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</si>
  <si>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</si>
  <si>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</si>
  <si>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</si>
  <si>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</si>
  <si>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</si>
  <si>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</si>
  <si>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</si>
  <si>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</si>
  <si>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</si>
  <si>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</si>
  <si>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</si>
  <si>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</si>
  <si>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</si>
  <si>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</si>
  <si>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</si>
  <si>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</si>
  <si>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</si>
  <si>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</si>
  <si>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</si>
  <si>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</si>
  <si>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</si>
  <si>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</si>
  <si>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</si>
  <si>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</si>
  <si>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</si>
  <si>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</si>
  <si>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</si>
  <si>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</si>
  <si>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</si>
  <si>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</si>
  <si>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</si>
  <si>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</si>
  <si>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</si>
  <si>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</si>
  <si>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</si>
  <si>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</si>
  <si>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</si>
  <si>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</si>
  <si>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</si>
  <si>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</si>
  <si>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</si>
  <si>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</si>
  <si>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</si>
  <si>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</si>
  <si>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</si>
  <si>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</si>
  <si>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</si>
  <si>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</si>
  <si>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</si>
  <si>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</si>
  <si>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</si>
  <si>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</si>
  <si>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</si>
  <si>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</si>
  <si>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</si>
  <si>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</si>
  <si>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</si>
  <si>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</si>
  <si>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</si>
  <si>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</si>
  <si>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</si>
  <si>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</si>
  <si>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</si>
  <si>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</si>
  <si>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</si>
  <si>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</si>
  <si>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</si>
  <si>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</si>
  <si>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</si>
  <si>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</si>
  <si>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</si>
  <si>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</si>
  <si>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</si>
  <si>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</si>
  <si>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</si>
  <si>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</si>
  <si>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</si>
  <si>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</si>
  <si>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</si>
  <si>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</si>
  <si>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</si>
  <si>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</si>
  <si>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</si>
  <si>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</si>
  <si>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</si>
  <si>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</si>
  <si>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</si>
  <si>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</si>
  <si>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</si>
  <si>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</si>
  <si>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</si>
  <si>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</si>
  <si>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</si>
  <si>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</si>
  <si>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</si>
  <si>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</si>
  <si>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</si>
  <si>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</si>
  <si>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</si>
  <si>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</si>
  <si>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</si>
  <si>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</si>
  <si>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</si>
  <si>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</si>
  <si>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</si>
  <si>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</si>
  <si>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</si>
  <si>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</si>
  <si>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</si>
  <si>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</si>
  <si>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</si>
  <si>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</si>
  <si>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</si>
  <si>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</si>
  <si>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</si>
  <si>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</si>
  <si>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</si>
  <si>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</si>
  <si>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</si>
  <si>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</si>
  <si>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</si>
  <si>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</si>
  <si>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</si>
  <si>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</si>
  <si>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</si>
  <si>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</si>
  <si>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</si>
  <si>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</si>
  <si>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</si>
  <si>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</si>
  <si>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</si>
  <si>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</si>
  <si>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</si>
  <si>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</si>
  <si>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</si>
  <si>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</si>
  <si>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</si>
  <si>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</si>
  <si>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</si>
  <si>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</si>
  <si>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</si>
  <si>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</si>
  <si>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</si>
  <si>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</si>
  <si>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</si>
  <si>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</si>
  <si>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</si>
  <si>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</si>
  <si>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</si>
  <si>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</si>
  <si>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</si>
  <si>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</si>
  <si>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</si>
  <si>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</si>
  <si>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</si>
  <si>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</si>
  <si>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</si>
  <si>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</si>
  <si>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</si>
  <si>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</si>
  <si>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</si>
  <si>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</si>
  <si>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</si>
  <si>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</si>
  <si>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</si>
  <si>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</si>
  <si>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</si>
  <si>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</si>
  <si>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</si>
  <si>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</si>
  <si>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</si>
  <si>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</si>
  <si>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</si>
  <si>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</si>
  <si>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</si>
  <si>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</si>
  <si>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</si>
  <si>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</si>
  <si>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</si>
  <si>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</si>
  <si>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</si>
  <si>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</si>
  <si>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</si>
  <si>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</si>
  <si>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</si>
  <si>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</si>
  <si>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</si>
  <si>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</si>
  <si>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</si>
  <si>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</si>
  <si>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</si>
  <si>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</si>
  <si>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</si>
  <si>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</si>
  <si>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</si>
  <si>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</si>
  <si>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</si>
  <si>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</si>
  <si>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</si>
  <si>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</si>
  <si>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</si>
  <si>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</si>
  <si>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</si>
  <si>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</si>
  <si>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</si>
  <si>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</si>
  <si>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</si>
  <si>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</si>
  <si>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</si>
  <si>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</si>
  <si>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</si>
  <si>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</si>
  <si>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</si>
  <si>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</si>
  <si>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</si>
  <si>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</si>
  <si>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</si>
  <si>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</si>
  <si>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</si>
  <si>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</si>
  <si>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</si>
  <si>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</si>
  <si>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</si>
  <si>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</si>
  <si>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</si>
  <si>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</si>
  <si>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</si>
  <si>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</si>
  <si>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</si>
  <si>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</si>
  <si>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</si>
  <si>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</si>
  <si>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</si>
  <si>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</si>
  <si>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</si>
  <si>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</si>
  <si>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</si>
  <si>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</si>
  <si>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</si>
  <si>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</si>
  <si>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</si>
  <si>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</si>
  <si>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</si>
  <si>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</si>
  <si>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</si>
  <si>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</si>
  <si>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</si>
  <si>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</si>
  <si>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</si>
  <si>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</si>
  <si>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</si>
  <si>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</si>
  <si>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</si>
  <si>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</si>
  <si>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</si>
  <si>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</si>
  <si>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</si>
  <si>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</si>
  <si>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</si>
  <si>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</si>
  <si>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</si>
  <si>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</si>
  <si>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</si>
  <si>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</si>
  <si>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</si>
  <si>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</si>
  <si>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</si>
  <si>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</si>
  <si>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</si>
  <si>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</si>
  <si>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</si>
  <si>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</si>
  <si>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</si>
  <si>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</si>
  <si>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</si>
  <si>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</si>
  <si>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</si>
  <si>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</si>
  <si>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</si>
  <si>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</si>
  <si>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</si>
  <si>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</si>
  <si>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</si>
  <si>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</si>
  <si>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</si>
  <si>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</si>
  <si>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</si>
  <si>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</si>
  <si>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</si>
  <si>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</si>
  <si>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</si>
  <si>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</si>
  <si>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</si>
  <si>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</si>
  <si>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</si>
  <si>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</si>
  <si>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</si>
  <si>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</si>
  <si>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</si>
  <si>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</si>
  <si>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</si>
  <si>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</si>
  <si>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</si>
  <si>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</si>
  <si>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</si>
  <si>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</si>
  <si>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</si>
  <si>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</si>
  <si>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</si>
  <si>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</si>
  <si>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</si>
  <si>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</si>
  <si>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</si>
  <si>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</si>
  <si>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</si>
  <si>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</si>
  <si>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</si>
  <si>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</si>
  <si>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</si>
  <si>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</si>
  <si>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</si>
  <si>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</si>
  <si>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</si>
  <si>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</si>
  <si>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</si>
  <si>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</si>
  <si>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</si>
  <si>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</si>
  <si>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</si>
  <si>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</si>
  <si>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</si>
  <si>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</si>
  <si>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</si>
  <si>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</si>
  <si>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</si>
  <si>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</si>
  <si>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</si>
  <si>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</si>
  <si>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</si>
  <si>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</si>
  <si>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</si>
  <si>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</si>
  <si>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</si>
  <si>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</si>
  <si>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</si>
  <si>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</si>
  <si>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</si>
  <si>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</si>
  <si>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</si>
  <si>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</si>
  <si>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</si>
  <si>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</si>
  <si>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</si>
  <si>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</si>
  <si>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</si>
  <si>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</si>
  <si>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</si>
  <si>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</si>
  <si>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</si>
  <si>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</si>
  <si>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</si>
  <si>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</si>
  <si>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</si>
  <si>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</si>
  <si>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</si>
  <si>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</si>
  <si>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</si>
  <si>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</si>
  <si>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</si>
  <si>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</si>
  <si>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</si>
  <si>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</si>
  <si>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</si>
  <si>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</si>
  <si>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</si>
  <si>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</si>
  <si>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</si>
  <si>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</si>
  <si>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</si>
  <si>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</si>
  <si>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</si>
  <si>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</si>
  <si>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</si>
  <si>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</si>
  <si>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</si>
  <si>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</si>
  <si>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</si>
  <si>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</si>
  <si>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</si>
  <si>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</si>
  <si>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</si>
  <si>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</si>
  <si>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</si>
  <si>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</si>
  <si>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</si>
  <si>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</si>
  <si>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</si>
  <si>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</si>
  <si>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</si>
  <si>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</si>
  <si>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</si>
  <si>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</si>
  <si>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</si>
  <si>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</si>
  <si>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</si>
  <si>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</si>
  <si>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</si>
  <si>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</si>
  <si>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</si>
  <si>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</si>
  <si>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</si>
  <si>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</si>
  <si>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</si>
  <si>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</si>
  <si>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</si>
  <si>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</si>
  <si>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</si>
  <si>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</si>
  <si>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</si>
  <si>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</si>
  <si>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</si>
  <si>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</si>
  <si>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</si>
  <si>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</si>
  <si>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</si>
  <si>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</si>
  <si>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</si>
  <si>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</si>
  <si>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</si>
  <si>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</si>
  <si>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</si>
  <si>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</si>
  <si>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</si>
  <si>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</si>
  <si>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</si>
  <si>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</si>
  <si>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</si>
  <si>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</si>
  <si>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</si>
  <si>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</si>
  <si>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</si>
  <si>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</si>
  <si>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</si>
  <si>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</si>
  <si>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</si>
  <si>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</si>
  <si>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</si>
  <si>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</si>
  <si>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</si>
  <si>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</si>
  <si>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</si>
  <si>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</si>
  <si>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</si>
  <si>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</si>
  <si>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</si>
  <si>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</si>
  <si>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</si>
  <si>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</si>
  <si>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</si>
  <si>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</si>
  <si>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</si>
  <si>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</si>
  <si>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</si>
  <si>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</si>
  <si>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</si>
  <si>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</si>
  <si>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</si>
  <si>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</si>
  <si>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</si>
  <si>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</si>
  <si>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</si>
  <si>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</si>
  <si>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</si>
  <si>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</si>
  <si>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</si>
  <si>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</si>
  <si>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</si>
  <si>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</si>
  <si>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</si>
  <si>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</si>
  <si>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</si>
  <si>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</si>
  <si>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</si>
  <si>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</si>
  <si>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</si>
  <si>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</si>
  <si>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</si>
  <si>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</si>
  <si>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</si>
  <si>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</si>
  <si>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</si>
  <si>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</si>
  <si>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</si>
  <si>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</si>
  <si>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</si>
  <si>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</si>
  <si>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</si>
  <si>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</si>
  <si>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</si>
  <si>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</si>
  <si>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</si>
  <si>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</si>
  <si>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</si>
  <si>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</si>
  <si>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</si>
  <si>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</si>
  <si>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</si>
  <si>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</si>
  <si>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</si>
  <si>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</si>
  <si>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</si>
  <si>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</si>
  <si>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</si>
  <si>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</si>
  <si>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</si>
  <si>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</si>
  <si>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</si>
  <si>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</si>
  <si>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</si>
  <si>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</si>
  <si>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</si>
  <si>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</si>
  <si>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</si>
  <si>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</si>
  <si>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</si>
  <si>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</si>
  <si>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</si>
  <si>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</si>
  <si>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</si>
  <si>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</si>
  <si>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</si>
  <si>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</si>
  <si>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</si>
  <si>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</si>
  <si>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</si>
  <si>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</si>
  <si>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</si>
  <si>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</si>
  <si>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</si>
  <si>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</si>
  <si>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</si>
  <si>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</si>
  <si>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</si>
  <si>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</si>
  <si>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</si>
  <si>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</si>
  <si>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</si>
  <si>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</si>
  <si>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</si>
  <si>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</si>
  <si>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</si>
  <si>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</si>
  <si>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</si>
  <si>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</si>
  <si>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</si>
  <si>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</si>
  <si>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</si>
  <si>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</si>
  <si>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</si>
  <si>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</si>
  <si>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</si>
  <si>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</si>
  <si>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</si>
  <si>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</si>
  <si>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</si>
  <si>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</si>
  <si>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</si>
  <si>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</si>
  <si>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</si>
  <si>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</si>
  <si>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</si>
  <si>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</si>
  <si>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</si>
  <si>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</si>
  <si>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</si>
  <si>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</si>
  <si>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</si>
  <si>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</si>
  <si>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</si>
  <si>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</si>
  <si>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</si>
  <si>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</si>
  <si>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</si>
  <si>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</si>
  <si>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</si>
  <si>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</si>
  <si>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</si>
  <si>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</si>
  <si>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</si>
  <si>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</si>
  <si>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</si>
  <si>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</si>
  <si>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</si>
  <si>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</si>
  <si>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</si>
  <si>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</si>
  <si>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</si>
  <si>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</si>
  <si>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</si>
  <si>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</si>
  <si>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</si>
  <si>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</si>
  <si>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</si>
  <si>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</si>
  <si>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</si>
  <si>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</si>
  <si>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</si>
  <si>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</si>
  <si>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</si>
  <si>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</si>
  <si>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</si>
  <si>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</si>
  <si>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</si>
  <si>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</si>
  <si>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</si>
  <si>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</si>
  <si>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</si>
  <si>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</si>
  <si>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</si>
  <si>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</si>
  <si>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</si>
  <si>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</si>
  <si>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</si>
  <si>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</si>
  <si>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</si>
  <si>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</si>
  <si>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</si>
  <si>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</si>
  <si>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</si>
  <si>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</si>
  <si>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</si>
  <si>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</si>
  <si>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</si>
  <si>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</si>
  <si>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</si>
  <si>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</si>
  <si>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</si>
  <si>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</si>
  <si>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</si>
  <si>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</si>
  <si>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</si>
  <si>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</si>
  <si>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</si>
  <si>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</si>
  <si>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</si>
  <si>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</si>
  <si>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</si>
  <si>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</si>
  <si>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</si>
  <si>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</si>
  <si>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</si>
  <si>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</si>
  <si>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</si>
  <si>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</si>
  <si>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</si>
  <si>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</si>
  <si>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</si>
  <si>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</si>
  <si>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</si>
  <si>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</si>
  <si>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</si>
  <si>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</si>
  <si>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</si>
  <si>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</si>
  <si>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</si>
  <si>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</si>
  <si>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</si>
  <si>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</si>
  <si>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</si>
  <si>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</si>
  <si>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</si>
  <si>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</si>
  <si>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</si>
  <si>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</si>
  <si>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</si>
  <si>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</si>
  <si>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</si>
  <si>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</si>
  <si>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</si>
  <si>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</si>
  <si>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</si>
  <si>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</si>
  <si>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</si>
  <si>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</si>
  <si>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</si>
  <si>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</si>
  <si>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</si>
  <si>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</si>
  <si>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</si>
  <si>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</si>
  <si>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</si>
  <si>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</si>
  <si>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</si>
  <si>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</si>
  <si>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</si>
  <si>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</si>
  <si>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</si>
  <si>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</si>
  <si>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</si>
  <si>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</si>
  <si>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</si>
  <si>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</si>
  <si>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</si>
  <si>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</si>
  <si>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</si>
  <si>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</si>
  <si>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</si>
  <si>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</si>
  <si>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</si>
  <si>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</si>
  <si>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</si>
  <si>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</si>
  <si>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</si>
  <si>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</si>
  <si>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</si>
  <si>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</si>
  <si>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</si>
  <si>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</si>
  <si>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</si>
  <si>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</si>
  <si>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</si>
  <si>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</si>
  <si>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</si>
  <si>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</si>
  <si>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</si>
  <si>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</si>
  <si>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</si>
  <si>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</si>
  <si>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</si>
  <si>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</si>
  <si>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</si>
  <si>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</si>
  <si>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</si>
  <si>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</si>
  <si>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</si>
  <si>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</si>
  <si>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</si>
  <si>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</si>
  <si>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</si>
  <si>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</si>
  <si>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</si>
  <si>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</si>
  <si>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</si>
  <si>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</si>
  <si>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</si>
  <si>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</si>
  <si>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</si>
  <si>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</si>
  <si>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</si>
  <si>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</si>
  <si>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</si>
  <si>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</si>
  <si>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</si>
  <si>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</si>
  <si>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</si>
  <si>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</si>
  <si>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</si>
  <si>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</si>
  <si>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</si>
  <si>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</si>
  <si>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</si>
  <si>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</si>
  <si>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</si>
  <si>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</si>
  <si>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</si>
  <si>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</si>
  <si>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</si>
  <si>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</si>
  <si>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</si>
  <si>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</si>
  <si>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</si>
  <si>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</si>
  <si>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</si>
  <si>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</si>
  <si>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</si>
  <si>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</si>
  <si>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</si>
  <si>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</si>
  <si>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</si>
  <si>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</si>
  <si>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</si>
  <si>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</si>
  <si>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</si>
  <si>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</si>
  <si>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</si>
  <si>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</si>
  <si>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</si>
  <si>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</si>
  <si>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</si>
  <si>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</si>
  <si>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</si>
  <si>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</si>
  <si>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</si>
  <si>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</si>
  <si>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</si>
  <si>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</si>
  <si>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</si>
  <si>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</si>
  <si>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</si>
  <si>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</si>
  <si>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</si>
  <si>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</si>
  <si>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</si>
  <si>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</si>
  <si>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</si>
  <si>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</si>
  <si>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</si>
  <si>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</si>
  <si>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</si>
  <si>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</si>
  <si>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</si>
  <si>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</si>
  <si>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</si>
  <si>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</si>
  <si>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</si>
  <si>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</si>
  <si>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</si>
  <si>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</si>
  <si>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</si>
  <si>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</si>
  <si>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</si>
  <si>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</si>
  <si>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</si>
  <si>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</si>
  <si>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</si>
  <si>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</si>
  <si>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</si>
  <si>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</si>
  <si>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</si>
  <si>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</si>
  <si>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</si>
  <si>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</si>
  <si>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</si>
  <si>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</si>
  <si>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</si>
  <si>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</si>
  <si>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</si>
  <si>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</si>
  <si>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</si>
  <si>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</si>
  <si>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</si>
  <si>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</si>
  <si>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</si>
  <si>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</si>
  <si>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</si>
  <si>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</si>
  <si>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</si>
  <si>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</si>
  <si>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</si>
  <si>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</si>
  <si>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</si>
  <si>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</si>
  <si>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</si>
  <si>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</si>
  <si>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</si>
  <si>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</si>
  <si>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</si>
  <si>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</si>
  <si>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</si>
  <si>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</si>
  <si>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</si>
  <si>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</si>
  <si>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</si>
  <si>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</si>
  <si>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</si>
  <si>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</si>
  <si>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</si>
  <si>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</si>
  <si>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</si>
  <si>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</si>
  <si>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</si>
  <si>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</si>
  <si>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</si>
  <si>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</si>
  <si>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</si>
  <si>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</si>
  <si>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</si>
  <si>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</si>
  <si>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</si>
  <si>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</si>
  <si>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</si>
  <si>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</si>
  <si>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</si>
  <si>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</si>
  <si>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</si>
  <si>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</si>
  <si>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</si>
  <si>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</si>
  <si>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</si>
  <si>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</si>
  <si>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</si>
  <si>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</si>
  <si>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</si>
  <si>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</si>
  <si>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</si>
  <si>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</si>
  <si>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</si>
  <si>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</si>
  <si>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</si>
  <si>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</si>
  <si>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</si>
  <si>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</si>
  <si>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</si>
  <si>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</si>
  <si>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</si>
  <si>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</si>
  <si>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</si>
  <si>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</si>
  <si>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</si>
  <si>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</si>
  <si>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</si>
  <si>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</si>
  <si>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</si>
  <si>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</si>
  <si>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</si>
  <si>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</si>
  <si>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</si>
  <si>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</si>
  <si>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</si>
  <si>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</si>
  <si>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</si>
  <si>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</si>
  <si>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</si>
  <si>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</si>
  <si>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</si>
  <si>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</si>
  <si>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</si>
  <si>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</si>
  <si>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</si>
  <si>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</si>
  <si>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</si>
  <si>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</si>
  <si>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</si>
  <si>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</si>
  <si>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</si>
  <si>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</si>
  <si>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</si>
  <si>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</si>
  <si>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</si>
  <si>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</si>
  <si>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</si>
  <si>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</si>
  <si>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</si>
  <si>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</si>
  <si>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</si>
  <si>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</si>
  <si>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</si>
  <si>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</si>
  <si>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</si>
  <si>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</si>
  <si>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</si>
  <si>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</si>
  <si>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</si>
  <si>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</si>
  <si>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</si>
  <si>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</si>
  <si>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</si>
  <si>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</si>
  <si>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</si>
  <si>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</si>
  <si>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</si>
  <si>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</si>
  <si>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</si>
  <si>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</si>
  <si>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</si>
  <si>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</si>
  <si>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</si>
  <si>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</si>
  <si>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</si>
  <si>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</si>
  <si>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</si>
  <si>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</si>
  <si>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</si>
  <si>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</si>
  <si>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</si>
  <si>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</si>
  <si>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</si>
  <si>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</si>
  <si>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</si>
  <si>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</si>
  <si>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</si>
  <si>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</si>
  <si>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</si>
  <si>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</si>
  <si>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</si>
  <si>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</si>
  <si>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</si>
  <si>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</si>
  <si>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</si>
  <si>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</si>
  <si>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</si>
  <si>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</si>
  <si>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</si>
  <si>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</si>
  <si>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</si>
  <si>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</si>
  <si>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</si>
  <si>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</si>
  <si>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</si>
  <si>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</si>
  <si>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</si>
  <si>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</si>
  <si>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</si>
  <si>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</si>
  <si>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</si>
  <si>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</si>
  <si>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</si>
  <si>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</si>
  <si>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</si>
  <si>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</si>
  <si>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</si>
  <si>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</si>
  <si>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</si>
  <si>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</si>
  <si>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</si>
  <si>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</si>
  <si>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</si>
  <si>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</si>
  <si>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</si>
  <si>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</si>
  <si>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</si>
  <si>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</si>
  <si>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</si>
  <si>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</si>
  <si>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</si>
  <si>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</si>
  <si>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</si>
  <si>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</si>
  <si>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</si>
  <si>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</si>
  <si>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</si>
  <si>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</si>
  <si>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</si>
  <si>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</si>
  <si>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</si>
  <si>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</si>
  <si>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</si>
  <si>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</si>
  <si>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</si>
  <si>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</si>
  <si>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</si>
  <si>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</si>
  <si>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</si>
  <si>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</si>
  <si>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</si>
  <si>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</si>
  <si>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</si>
  <si>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</si>
  <si>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</si>
  <si>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</si>
  <si>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</si>
  <si>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</si>
  <si>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</si>
  <si>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</si>
  <si>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</si>
  <si>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</si>
  <si>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</si>
  <si>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</si>
  <si>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</si>
  <si>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</si>
  <si>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</si>
  <si>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</si>
  <si>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</si>
  <si>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</si>
  <si>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</si>
  <si>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</si>
  <si>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</si>
  <si>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</si>
  <si>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</si>
  <si>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</si>
  <si>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</si>
  <si>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</si>
  <si>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</si>
  <si>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</si>
  <si>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</si>
  <si>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</si>
  <si>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</si>
  <si>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</si>
  <si>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</si>
  <si>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</si>
  <si>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</si>
  <si>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</si>
  <si>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</si>
  <si>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</si>
  <si>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</si>
  <si>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</si>
  <si>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</si>
  <si>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</si>
  <si>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</si>
  <si>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</si>
  <si>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</si>
  <si>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</si>
  <si>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</si>
  <si>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</si>
  <si>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</si>
  <si>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</si>
  <si>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</si>
  <si>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</si>
  <si>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</si>
  <si>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</si>
  <si>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</si>
  <si>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</si>
  <si>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</si>
  <si>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</si>
  <si>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</si>
  <si>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</si>
  <si>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</si>
  <si>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</si>
  <si>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</si>
  <si>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</si>
  <si>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</si>
  <si>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</si>
  <si>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</si>
  <si>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</si>
  <si>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</si>
  <si>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</si>
  <si>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</si>
  <si>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</si>
  <si>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</si>
  <si>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</si>
  <si>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</si>
  <si>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</si>
  <si>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</si>
  <si>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</si>
  <si>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</si>
  <si>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</si>
  <si>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</si>
  <si>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</si>
  <si>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</si>
  <si>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</si>
  <si>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</si>
  <si>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</si>
  <si>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</si>
  <si>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</si>
  <si>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</si>
  <si>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</si>
  <si>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</si>
  <si>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</si>
  <si>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</si>
  <si>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</si>
  <si>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</si>
  <si>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</si>
  <si>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</si>
  <si>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</si>
  <si>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</si>
  <si>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</si>
  <si>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</si>
  <si>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</si>
  <si>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</si>
  <si>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</si>
  <si>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</si>
  <si>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</si>
  <si>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</si>
  <si>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</si>
  <si>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</si>
  <si>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</si>
  <si>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</si>
  <si>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</si>
  <si>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</si>
  <si>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</si>
  <si>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</si>
  <si>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</si>
  <si>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</si>
  <si>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</si>
  <si>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</si>
  <si>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</si>
  <si>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</si>
  <si>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</si>
  <si>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</si>
  <si>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</si>
  <si>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</si>
  <si>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</si>
  <si>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</si>
  <si>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</si>
  <si>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</si>
  <si>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</si>
  <si>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</si>
  <si>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</si>
  <si>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</si>
  <si>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</si>
  <si>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</si>
  <si>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</si>
  <si>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</si>
  <si>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</si>
  <si>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</si>
  <si>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</si>
  <si>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</si>
  <si>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</si>
  <si>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</si>
  <si>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</si>
  <si>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</si>
  <si>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</si>
  <si>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</si>
  <si>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</si>
  <si>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</si>
  <si>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</si>
  <si>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</si>
  <si>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</si>
  <si>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</si>
  <si>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</si>
  <si>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</si>
  <si>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</si>
  <si>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</si>
  <si>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</si>
  <si>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</si>
  <si>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</si>
  <si>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</si>
  <si>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</si>
  <si>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</si>
  <si>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</si>
  <si>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</si>
  <si>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</si>
  <si>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</si>
  <si>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</si>
  <si>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</si>
  <si>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</si>
  <si>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</si>
  <si>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</si>
  <si>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</si>
  <si>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</si>
  <si>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</si>
  <si>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</si>
  <si>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</si>
  <si>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</si>
  <si>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</si>
  <si>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</si>
  <si>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</si>
  <si>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</si>
  <si>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</si>
  <si>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</si>
  <si>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</si>
  <si>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</si>
  <si>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</si>
  <si>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</si>
  <si>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</si>
  <si>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</si>
  <si>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</si>
  <si>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</si>
  <si>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</si>
  <si>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</si>
  <si>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</si>
  <si>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</si>
  <si>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</si>
  <si>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</si>
  <si>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</si>
  <si>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</si>
  <si>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</si>
  <si>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</si>
  <si>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</si>
  <si>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</si>
  <si>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</si>
  <si>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</si>
  <si>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</si>
  <si>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</si>
  <si>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</si>
  <si>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</si>
  <si>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</si>
  <si>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</si>
  <si>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</si>
  <si>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</si>
  <si>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</si>
  <si>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</si>
  <si>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</si>
  <si>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</si>
  <si>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</si>
  <si>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</si>
  <si>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</si>
  <si>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</si>
  <si>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</si>
  <si>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</si>
  <si>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</si>
  <si>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</si>
  <si>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</si>
  <si>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</si>
  <si>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</si>
  <si>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</si>
  <si>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</si>
  <si>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</si>
  <si>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</si>
  <si>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</si>
  <si>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</si>
  <si>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</si>
  <si>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</si>
  <si>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</si>
  <si>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</si>
  <si>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</si>
  <si>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</si>
  <si>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</si>
  <si>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</si>
  <si>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</si>
  <si>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</si>
  <si>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</si>
  <si>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</si>
  <si>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</si>
  <si>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</si>
  <si>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</si>
  <si>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</si>
  <si>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</si>
  <si>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</si>
  <si>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</si>
  <si>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</si>
  <si>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</si>
  <si>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</si>
  <si>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</si>
  <si>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</si>
  <si>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</si>
  <si>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</si>
  <si>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</si>
  <si>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</si>
  <si>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</si>
  <si>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</si>
  <si>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</si>
  <si>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</si>
  <si>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</si>
  <si>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</si>
  <si>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</si>
  <si>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</si>
  <si>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</si>
  <si>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</si>
  <si>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</si>
  <si>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</si>
  <si>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</si>
  <si>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</si>
  <si>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</si>
  <si>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</si>
  <si>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</si>
  <si>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</si>
  <si>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</si>
  <si>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</si>
  <si>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</si>
  <si>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</si>
  <si>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</si>
  <si>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</si>
  <si>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</si>
  <si>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</si>
  <si>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</si>
  <si>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</si>
  <si>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</si>
  <si>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</si>
  <si>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</si>
  <si>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</si>
  <si>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</si>
  <si>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</si>
  <si>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</si>
  <si>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</si>
  <si>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</si>
  <si>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</si>
  <si>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</si>
  <si>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</si>
  <si>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</si>
  <si>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</si>
  <si>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</si>
  <si>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</si>
  <si>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</si>
  <si>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</si>
  <si>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</si>
  <si>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</si>
  <si>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</si>
  <si>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</si>
  <si>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</si>
  <si>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</si>
  <si>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</si>
  <si>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</si>
  <si>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</si>
  <si>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</si>
  <si>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</si>
  <si>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</si>
  <si>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</si>
  <si>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</si>
  <si>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</si>
  <si>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</si>
  <si>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</si>
  <si>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</si>
  <si>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</si>
  <si>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</si>
  <si>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</si>
  <si>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</si>
  <si>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</si>
  <si>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</si>
  <si>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</si>
  <si>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</si>
  <si>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</si>
  <si>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</si>
  <si>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</si>
  <si>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</si>
  <si>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</si>
  <si>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</si>
  <si>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</si>
  <si>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</si>
  <si>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</si>
  <si>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</si>
  <si>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</si>
  <si>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</si>
  <si>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</si>
  <si>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</si>
  <si>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</si>
  <si>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</si>
  <si>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</si>
  <si>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</si>
  <si>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</si>
  <si>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</si>
  <si>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</si>
  <si>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</si>
  <si>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</si>
  <si>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</si>
  <si>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</si>
  <si>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</si>
  <si>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</si>
  <si>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</si>
  <si>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</si>
  <si>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</si>
  <si>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</si>
  <si>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</si>
  <si>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</si>
  <si>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</si>
  <si>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</si>
  <si>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</si>
  <si>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</si>
  <si>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</si>
  <si>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</si>
  <si>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</si>
  <si>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</si>
  <si>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</si>
  <si>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</si>
  <si>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</si>
  <si>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</si>
  <si>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</si>
  <si>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</si>
  <si>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</si>
  <si>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</si>
  <si>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</si>
  <si>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</si>
  <si>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</si>
  <si>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</si>
  <si>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</si>
  <si>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</si>
  <si>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</si>
  <si>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</si>
  <si>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</si>
  <si>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</si>
  <si>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</si>
  <si>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</si>
  <si>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</si>
  <si>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</si>
  <si>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</si>
  <si>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</si>
  <si>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</si>
  <si>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</si>
  <si>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</si>
  <si>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</si>
  <si>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</si>
  <si>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</si>
  <si>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</si>
  <si>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</si>
  <si>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</si>
  <si>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</si>
  <si>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</si>
  <si>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</si>
  <si>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</si>
  <si>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</si>
  <si>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</si>
  <si>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</si>
  <si>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</si>
  <si>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</si>
  <si>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</si>
  <si>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</si>
  <si>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</si>
  <si>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</si>
  <si>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</si>
  <si>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</si>
  <si>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</si>
  <si>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</si>
  <si>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</si>
  <si>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</si>
  <si>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</si>
  <si>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</si>
  <si>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</si>
  <si>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</si>
  <si>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</si>
  <si>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</si>
  <si>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</si>
  <si>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</si>
  <si>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</si>
  <si>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</si>
  <si>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</si>
  <si>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</si>
  <si>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</si>
  <si>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</si>
  <si>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</si>
  <si>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</si>
  <si>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</si>
  <si>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</si>
  <si>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</si>
  <si>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</si>
  <si>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</si>
  <si>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</si>
  <si>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</si>
  <si>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</si>
  <si>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</si>
  <si>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</si>
  <si>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</si>
  <si>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</si>
  <si>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</si>
  <si>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</si>
  <si>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</si>
  <si>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</si>
  <si>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</si>
  <si>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</si>
  <si>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</si>
  <si>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</si>
  <si>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</si>
  <si>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</si>
  <si>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</si>
  <si>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</si>
  <si>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</si>
  <si>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</si>
  <si>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</si>
  <si>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</si>
  <si>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</si>
  <si>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</si>
  <si>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</si>
  <si>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</si>
  <si>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</si>
  <si>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</si>
  <si>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</si>
  <si>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</si>
  <si>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</si>
  <si>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</si>
  <si>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</si>
  <si>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</si>
  <si>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</si>
  <si>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</si>
  <si>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</si>
  <si>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</si>
  <si>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</si>
  <si>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</si>
  <si>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</si>
  <si>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</si>
  <si>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</si>
  <si>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</si>
  <si>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</si>
  <si>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</si>
  <si>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</si>
  <si>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</si>
  <si>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</si>
  <si>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</si>
  <si>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</si>
  <si>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</si>
  <si>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</si>
  <si>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</si>
  <si>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</si>
  <si>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</si>
  <si>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</si>
  <si>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</si>
  <si>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</si>
  <si>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</si>
  <si>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</si>
  <si>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</si>
  <si>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</si>
  <si>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</si>
  <si>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</si>
  <si>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</si>
  <si>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</si>
  <si>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</si>
  <si>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</si>
  <si>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</si>
  <si>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</si>
  <si>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</si>
  <si>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</si>
  <si>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</si>
  <si>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</si>
  <si>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</si>
  <si>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</si>
  <si>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</si>
  <si>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</si>
  <si>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</si>
  <si>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</si>
  <si>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</si>
  <si>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</si>
  <si>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</si>
  <si>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</si>
  <si>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</si>
  <si>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</si>
  <si>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</si>
  <si>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</si>
  <si>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</si>
  <si>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</si>
  <si>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</si>
  <si>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</si>
  <si>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</si>
  <si>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</si>
  <si>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</si>
  <si>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</si>
  <si>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</si>
  <si>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</si>
  <si>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</si>
  <si>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</si>
  <si>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</si>
  <si>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</si>
  <si>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</si>
  <si>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</si>
  <si>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</si>
  <si>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</si>
  <si>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</si>
  <si>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</si>
  <si>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</si>
  <si>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</si>
  <si>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</si>
  <si>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</si>
  <si>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</si>
  <si>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</si>
  <si>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</si>
  <si>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</si>
  <si>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</si>
  <si>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</si>
  <si>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</si>
  <si>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</si>
  <si>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</si>
  <si>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</si>
  <si>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</si>
  <si>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</si>
  <si>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</si>
  <si>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</si>
  <si>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</si>
  <si>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</si>
  <si>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</si>
  <si>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</si>
  <si>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</si>
  <si>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</si>
  <si>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</si>
  <si>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</si>
  <si>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</si>
  <si>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</si>
  <si>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</si>
  <si>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</si>
  <si>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</si>
  <si>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</si>
  <si>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</si>
  <si>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</si>
  <si>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</si>
  <si>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</si>
  <si>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</si>
  <si>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</si>
  <si>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</si>
  <si>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</si>
  <si>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</si>
  <si>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</si>
  <si>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</si>
  <si>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</si>
  <si>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</si>
  <si>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</si>
  <si>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</si>
  <si>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</si>
  <si>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</si>
  <si>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</si>
  <si>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</si>
  <si>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</si>
  <si>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</si>
  <si>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</si>
  <si>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</si>
  <si>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</si>
  <si>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</si>
  <si>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</si>
  <si>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</si>
  <si>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</si>
  <si>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</si>
  <si>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</si>
  <si>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</si>
  <si>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</si>
  <si>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</si>
  <si>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</si>
  <si>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</si>
  <si>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</si>
  <si>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</si>
  <si>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</si>
  <si>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</si>
  <si>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</si>
  <si>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</si>
  <si>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</si>
  <si>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</si>
  <si>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</si>
  <si>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</si>
  <si>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</si>
  <si>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</si>
  <si>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</si>
  <si>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</si>
  <si>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</si>
  <si>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</si>
  <si>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</si>
  <si>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</si>
  <si>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</si>
  <si>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</si>
  <si>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</si>
  <si>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</si>
  <si>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</si>
  <si>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</si>
  <si>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</si>
  <si>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</si>
  <si>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</si>
  <si>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</si>
  <si>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</si>
  <si>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</si>
  <si>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</si>
  <si>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</si>
  <si>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</si>
  <si>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</si>
  <si>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</si>
  <si>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</si>
  <si>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</si>
  <si>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</si>
  <si>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</si>
  <si>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</si>
  <si>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</si>
  <si>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</si>
  <si>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</si>
  <si>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</si>
  <si>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</si>
  <si>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</si>
  <si>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</si>
  <si>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</si>
  <si>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</si>
  <si>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</si>
  <si>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</si>
  <si>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</si>
  <si>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</si>
  <si>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</si>
  <si>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</si>
  <si>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</si>
  <si>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</si>
  <si>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</si>
  <si>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</si>
  <si>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</si>
  <si>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</si>
  <si>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</si>
  <si>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</si>
  <si>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</si>
  <si>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</si>
  <si>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</si>
  <si>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</si>
  <si>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</si>
  <si>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</si>
  <si>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</si>
  <si>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</si>
  <si>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</si>
  <si>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</si>
  <si>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</si>
  <si>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</si>
  <si>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</si>
  <si>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</si>
  <si>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</si>
  <si>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</si>
  <si>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</si>
  <si>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</si>
  <si>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</si>
  <si>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</si>
  <si>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</si>
  <si>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</si>
  <si>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</si>
  <si>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</si>
  <si>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</si>
  <si>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</si>
  <si>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</si>
  <si>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</si>
  <si>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</si>
  <si>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</si>
  <si>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</si>
  <si>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</si>
  <si>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</si>
  <si>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</si>
  <si>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</si>
  <si>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</si>
  <si>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</si>
  <si>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</si>
  <si>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</si>
  <si>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</si>
  <si>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</si>
  <si>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</si>
  <si>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</si>
  <si>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</si>
  <si>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</si>
  <si>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</si>
  <si>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</si>
  <si>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</si>
  <si>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</si>
  <si>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</si>
  <si>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</si>
  <si>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</si>
  <si>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</si>
  <si>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</si>
  <si>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</si>
  <si>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</si>
  <si>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</si>
  <si>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</si>
  <si>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</si>
  <si>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</si>
  <si>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</si>
  <si>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</si>
  <si>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</si>
  <si>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</si>
  <si>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</si>
  <si>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</si>
  <si>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</si>
  <si>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</si>
  <si>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</si>
  <si>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</si>
  <si>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</si>
  <si>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</si>
  <si>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</si>
  <si>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</si>
  <si>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</si>
  <si>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</si>
  <si>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</si>
  <si>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</si>
  <si>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</si>
  <si>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</si>
  <si>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</si>
  <si>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</si>
  <si>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</si>
  <si>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</si>
  <si>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</si>
  <si>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</si>
  <si>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</si>
  <si>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</si>
  <si>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</si>
  <si>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</si>
  <si>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</si>
  <si>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</si>
  <si>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</si>
  <si>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</si>
  <si>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</si>
  <si>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</si>
  <si>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</si>
  <si>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</si>
  <si>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</si>
  <si>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</si>
  <si>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</si>
  <si>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</si>
  <si>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</si>
  <si>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</si>
  <si>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</si>
  <si>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</si>
  <si>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</si>
  <si>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</si>
  <si>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</si>
  <si>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</si>
  <si>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</si>
  <si>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</si>
  <si>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</si>
  <si>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</si>
  <si>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</si>
  <si>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</si>
  <si>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</si>
  <si>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</si>
  <si>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</si>
  <si>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</si>
  <si>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</si>
  <si>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</si>
  <si>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</si>
  <si>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</si>
  <si>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</si>
  <si>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</si>
  <si>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</si>
  <si>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</si>
  <si>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</si>
  <si>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</si>
  <si>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</si>
  <si>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</si>
  <si>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</si>
  <si>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</si>
  <si>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</si>
  <si>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</si>
  <si>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</si>
  <si>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</si>
  <si>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</si>
  <si>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</si>
  <si>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</si>
  <si>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</si>
  <si>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</si>
  <si>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</si>
  <si>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</si>
  <si>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</si>
  <si>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</si>
  <si>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</si>
  <si>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</si>
  <si>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</si>
  <si>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</si>
  <si>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</si>
  <si>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</si>
  <si>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</si>
  <si>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</si>
  <si>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</si>
  <si>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</si>
  <si>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</si>
  <si>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</si>
  <si>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</si>
  <si>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</si>
  <si>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</si>
  <si>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</si>
  <si>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</si>
  <si>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</si>
  <si>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</si>
  <si>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</si>
  <si>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</si>
  <si>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</si>
  <si>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</si>
  <si>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</si>
  <si>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</si>
  <si>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</si>
  <si>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</si>
  <si>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</si>
  <si>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</si>
  <si>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</si>
  <si>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</si>
  <si>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</si>
  <si>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</si>
  <si>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</si>
  <si>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</si>
  <si>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</si>
  <si>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</si>
  <si>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</si>
  <si>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</si>
  <si>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</si>
  <si>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</si>
  <si>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</si>
  <si>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</si>
  <si>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</si>
  <si>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</si>
  <si>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</si>
  <si>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</si>
  <si>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</si>
  <si>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</si>
  <si>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</si>
  <si>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</si>
  <si>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</si>
  <si>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</si>
  <si>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</si>
  <si>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</si>
  <si>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</si>
  <si>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</si>
  <si>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</si>
  <si>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</si>
  <si>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</si>
  <si>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</si>
  <si>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</si>
  <si>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</si>
  <si>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</si>
  <si>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</si>
  <si>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</si>
  <si>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</si>
  <si>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</si>
  <si>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</si>
  <si>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</si>
  <si>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</si>
  <si>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</si>
  <si>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</si>
  <si>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</si>
  <si>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</si>
  <si>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</si>
  <si>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</si>
  <si>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</si>
  <si>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</si>
  <si>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</si>
  <si>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</si>
  <si>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</si>
  <si>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</si>
  <si>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</si>
  <si>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</si>
  <si>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</si>
  <si>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</si>
  <si>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</si>
  <si>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</si>
  <si>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</si>
  <si>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</si>
  <si>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</si>
  <si>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</si>
  <si>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</si>
  <si>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</si>
  <si>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</si>
  <si>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</si>
  <si>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</si>
  <si>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</si>
  <si>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</si>
  <si>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</si>
  <si>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</si>
  <si>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</si>
  <si>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</si>
  <si>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</si>
  <si>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</si>
  <si>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</si>
  <si>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</si>
  <si>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</si>
  <si>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</si>
  <si>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</si>
  <si>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</si>
  <si>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</si>
  <si>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</si>
  <si>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</si>
  <si>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</si>
  <si>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</si>
  <si>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</si>
  <si>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</si>
  <si>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</si>
  <si>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</si>
  <si>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</si>
  <si>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</si>
  <si>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</si>
  <si>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</si>
  <si>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</si>
  <si>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</si>
  <si>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</si>
  <si>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</si>
  <si>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</si>
  <si>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</si>
  <si>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</si>
  <si>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</si>
  <si>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</si>
  <si>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</si>
  <si>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</si>
  <si>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</si>
  <si>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</si>
  <si>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</si>
  <si>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</si>
  <si>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</si>
  <si>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</si>
  <si>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</si>
  <si>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</si>
  <si>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</si>
  <si>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</si>
  <si>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</si>
  <si>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</si>
  <si>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</si>
  <si>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</si>
  <si>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</si>
  <si>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</si>
  <si>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</si>
  <si>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</si>
  <si>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</si>
  <si>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</si>
  <si>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</si>
  <si>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</si>
  <si>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</si>
  <si>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</si>
  <si>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</si>
  <si>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</si>
  <si>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</si>
  <si>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</si>
  <si>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</si>
  <si>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</si>
  <si>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</si>
  <si>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</si>
  <si>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</si>
  <si>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</si>
  <si>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</si>
  <si>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</si>
  <si>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</si>
  <si>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</si>
  <si>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</si>
  <si>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</si>
  <si>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</si>
  <si>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</si>
  <si>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</si>
  <si>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</si>
  <si>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</si>
  <si>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</si>
  <si>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</si>
  <si>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</si>
  <si>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</si>
  <si>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</si>
  <si>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</si>
  <si>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</si>
  <si>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</si>
  <si>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</si>
  <si>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</si>
  <si>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</si>
  <si>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</si>
  <si>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</si>
  <si>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</si>
  <si>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</si>
  <si>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</si>
  <si>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</si>
  <si>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</si>
  <si>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</si>
  <si>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</si>
  <si>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</si>
  <si>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</si>
  <si>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</si>
  <si>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</si>
  <si>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</si>
  <si>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</si>
  <si>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</si>
  <si>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</si>
  <si>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</si>
  <si>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</si>
  <si>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</si>
  <si>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</si>
  <si>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</si>
  <si>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</si>
  <si>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</si>
  <si>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</si>
  <si>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</si>
  <si>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</si>
  <si>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</si>
  <si>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</si>
  <si>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</si>
  <si>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</si>
  <si>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</si>
  <si>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</si>
  <si>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</si>
  <si>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</si>
  <si>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</si>
  <si>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</si>
  <si>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</si>
  <si>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</si>
  <si>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</si>
  <si>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</si>
  <si>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</si>
  <si>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</si>
  <si>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</si>
  <si>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</si>
  <si>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</si>
  <si>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</si>
  <si>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</si>
  <si>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</si>
  <si>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</si>
  <si>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</si>
  <si>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</si>
  <si>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</si>
  <si>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</si>
  <si>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</si>
  <si>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</si>
  <si>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</si>
  <si>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</si>
  <si>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</si>
  <si>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</si>
  <si>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</si>
  <si>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</si>
  <si>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</si>
  <si>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</si>
  <si>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</si>
  <si>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</si>
  <si>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</si>
  <si>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</si>
  <si>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</si>
  <si>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</si>
  <si>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</si>
  <si>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</si>
  <si>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</si>
  <si>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</si>
  <si>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</si>
  <si>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</si>
  <si>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</si>
  <si>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</si>
  <si>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</si>
  <si>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</si>
  <si>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</si>
  <si>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</si>
  <si>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</si>
  <si>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</si>
  <si>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</si>
  <si>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</si>
  <si>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</si>
  <si>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</si>
  <si>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</si>
  <si>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</si>
  <si>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</si>
  <si>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</si>
  <si>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</si>
  <si>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</si>
  <si>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</si>
  <si>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</si>
  <si>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</si>
  <si>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</si>
  <si>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</si>
  <si>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</si>
  <si>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</si>
  <si>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</si>
  <si>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</si>
  <si>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</si>
  <si>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</si>
  <si>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</si>
  <si>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</si>
  <si>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</si>
  <si>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</si>
  <si>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</si>
  <si>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</si>
  <si>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</si>
  <si>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</si>
  <si>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</si>
  <si>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</si>
  <si>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</si>
  <si>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</si>
  <si>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</si>
  <si>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</si>
  <si>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</si>
  <si>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</si>
  <si>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</si>
  <si>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</si>
  <si>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</si>
  <si>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</si>
  <si>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</si>
  <si>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</si>
  <si>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</si>
  <si>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</si>
  <si>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</si>
  <si>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</si>
  <si>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</si>
  <si>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</si>
  <si>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</si>
  <si>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</si>
  <si>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</si>
  <si>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</si>
  <si>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</si>
  <si>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</si>
  <si>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</si>
  <si>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</si>
  <si>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</si>
  <si>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</si>
  <si>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</si>
  <si>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</si>
  <si>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</si>
  <si>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</si>
  <si>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</si>
  <si>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</si>
  <si>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</si>
  <si>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</si>
  <si>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</si>
  <si>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</si>
  <si>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</si>
  <si>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</si>
  <si>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</si>
  <si>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</si>
  <si>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</si>
  <si>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</si>
  <si>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</si>
  <si>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</si>
  <si>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</si>
  <si>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</si>
  <si>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</si>
  <si>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</si>
  <si>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</si>
  <si>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</si>
  <si>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</si>
  <si>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</si>
  <si>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</si>
  <si>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</si>
  <si>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</si>
  <si>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</si>
  <si>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</si>
  <si>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</si>
  <si>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</si>
  <si>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</si>
  <si>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</si>
  <si>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</si>
  <si>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</si>
  <si>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</si>
  <si>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</si>
  <si>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</si>
  <si>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</si>
  <si>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</si>
  <si>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</si>
  <si>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</si>
  <si>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</si>
  <si>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</si>
  <si>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</si>
  <si>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</si>
  <si>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</si>
  <si>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</si>
  <si>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</si>
  <si>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</si>
  <si>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</si>
  <si>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</si>
  <si>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</si>
  <si>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</si>
  <si>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</si>
  <si>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</si>
  <si>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</si>
  <si>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</si>
  <si>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</si>
  <si>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</si>
  <si>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</si>
  <si>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</si>
  <si>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</si>
  <si>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</si>
  <si>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</si>
  <si>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</si>
  <si>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</si>
  <si>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</si>
  <si>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</si>
  <si>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</si>
  <si>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</si>
  <si>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</si>
  <si>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</si>
  <si>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</si>
  <si>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</si>
  <si>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</si>
  <si>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</si>
  <si>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</si>
  <si>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</si>
  <si>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</si>
  <si>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</si>
  <si>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</si>
  <si>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</si>
  <si>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</si>
  <si>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</si>
  <si>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</si>
  <si>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</si>
  <si>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</si>
  <si>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</si>
  <si>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</si>
  <si>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</si>
  <si>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</si>
  <si>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</si>
  <si>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</si>
  <si>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</si>
  <si>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</si>
  <si>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</si>
  <si>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</si>
  <si>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</si>
  <si>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</si>
  <si>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</si>
  <si>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</si>
  <si>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</si>
  <si>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</si>
  <si>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</si>
  <si>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</si>
  <si>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</si>
  <si>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</si>
  <si>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</si>
  <si>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</si>
  <si>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</si>
  <si>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</si>
  <si>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</si>
  <si>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</si>
  <si>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</si>
  <si>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</si>
  <si>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</si>
  <si>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</si>
  <si>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</si>
  <si>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</si>
  <si>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</si>
  <si>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</si>
  <si>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</si>
  <si>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</si>
  <si>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</si>
  <si>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</si>
  <si>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</si>
  <si>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</si>
  <si>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</si>
  <si>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</si>
  <si>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</si>
  <si>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</si>
  <si>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</si>
  <si>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</si>
  <si>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</si>
  <si>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</si>
  <si>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</si>
  <si>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</si>
  <si>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</si>
  <si>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</si>
  <si>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</si>
  <si>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</si>
  <si>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</si>
  <si>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</si>
  <si>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</si>
  <si>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</si>
  <si>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</si>
  <si>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</si>
  <si>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</si>
  <si>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</si>
  <si>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</si>
  <si>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</si>
  <si>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</si>
  <si>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</si>
  <si>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</si>
  <si>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</si>
  <si>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</si>
  <si>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</si>
  <si>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</si>
  <si>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</si>
  <si>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</si>
  <si>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</si>
  <si>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</si>
  <si>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</si>
  <si>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</si>
  <si>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</si>
  <si>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</si>
  <si>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</si>
  <si>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</si>
  <si>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</si>
  <si>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</si>
  <si>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</si>
  <si>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</si>
  <si>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</si>
  <si>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</si>
  <si>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</si>
  <si>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</si>
  <si>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</si>
  <si>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</si>
  <si>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</si>
  <si>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</si>
  <si>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</si>
  <si>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</si>
  <si>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</si>
  <si>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</si>
  <si>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</si>
  <si>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</si>
  <si>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</si>
  <si>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</si>
  <si>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</si>
  <si>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</si>
  <si>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</si>
  <si>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</si>
  <si>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</si>
  <si>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</si>
  <si>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</si>
  <si>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</si>
  <si>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</si>
  <si>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</si>
  <si>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</si>
  <si>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</si>
  <si>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</si>
  <si>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</si>
  <si>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</si>
  <si>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</si>
  <si>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</si>
  <si>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</si>
  <si>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</si>
  <si>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</si>
  <si>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</si>
  <si>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</si>
  <si>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</si>
  <si>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</si>
  <si>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</si>
  <si>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</si>
  <si>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</si>
  <si>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</si>
  <si>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</si>
  <si>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</si>
  <si>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</si>
  <si>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</si>
  <si>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</si>
  <si>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</si>
  <si>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</si>
  <si>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</si>
  <si>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</si>
  <si>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</si>
  <si>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</si>
  <si>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</si>
  <si>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</si>
  <si>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</si>
  <si>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</si>
  <si>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</si>
  <si>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</si>
  <si>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</si>
  <si>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</si>
  <si>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</si>
  <si>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</si>
  <si>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</si>
  <si>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</si>
  <si>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</si>
  <si>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</si>
  <si>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</si>
  <si>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</si>
  <si>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</si>
  <si>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</si>
  <si>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</si>
  <si>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</si>
  <si>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</si>
  <si>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</si>
  <si>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</si>
  <si>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</si>
  <si>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</si>
  <si>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</si>
  <si>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</si>
  <si>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</si>
  <si>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</si>
  <si>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</si>
  <si>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</si>
  <si>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</si>
  <si>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</si>
  <si>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</si>
  <si>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</si>
  <si>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</si>
  <si>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</si>
  <si>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</si>
  <si>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</si>
  <si>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</si>
  <si>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</si>
  <si>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</si>
  <si>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</si>
  <si>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</si>
  <si>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</si>
  <si>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</si>
  <si>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</si>
  <si>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</si>
  <si>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</si>
  <si>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</si>
  <si>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</si>
  <si>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</si>
  <si>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</si>
  <si>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</si>
  <si>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</si>
  <si>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</si>
  <si>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</si>
  <si>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</si>
  <si>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</si>
  <si>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</si>
  <si>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</si>
  <si>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</si>
  <si>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</si>
  <si>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</si>
  <si>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</si>
  <si>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</si>
  <si>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</si>
  <si>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</si>
  <si>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</si>
  <si>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</si>
  <si>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</si>
  <si>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</si>
  <si>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</si>
  <si>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</si>
  <si>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</si>
  <si>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</si>
  <si>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</si>
  <si>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</si>
  <si>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</si>
  <si>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</si>
  <si>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</si>
  <si>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</si>
  <si>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</si>
  <si>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</si>
  <si>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</si>
  <si>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</si>
  <si>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</si>
  <si>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</si>
  <si>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</si>
  <si>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</si>
  <si>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</si>
  <si>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</si>
  <si>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</si>
  <si>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</si>
  <si>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</si>
  <si>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</si>
  <si>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</si>
  <si>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</si>
  <si>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</si>
  <si>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</si>
  <si>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</si>
  <si>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</si>
  <si>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</si>
  <si>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</si>
  <si>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</si>
  <si>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</si>
  <si>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</si>
  <si>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</si>
  <si>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</si>
  <si>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</si>
  <si>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</si>
  <si>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</si>
  <si>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</si>
  <si>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</si>
  <si>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</si>
  <si>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</si>
  <si>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</si>
  <si>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</si>
  <si>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</si>
  <si>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</si>
  <si>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</si>
  <si>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</si>
  <si>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</si>
  <si>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</si>
  <si>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</si>
  <si>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</si>
  <si>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</si>
  <si>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</si>
  <si>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</si>
  <si>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</si>
  <si>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</si>
  <si>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</si>
  <si>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</si>
  <si>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</si>
  <si>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</si>
  <si>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</si>
  <si>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</si>
  <si>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</si>
  <si>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</si>
  <si>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</si>
  <si>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</si>
  <si>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</si>
  <si>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</si>
  <si>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</si>
  <si>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</si>
  <si>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</si>
  <si>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</si>
  <si>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</si>
  <si>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</si>
  <si>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</si>
  <si>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</si>
  <si>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</si>
  <si>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</si>
  <si>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</si>
  <si>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</si>
  <si>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</si>
  <si>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</si>
  <si>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</si>
  <si>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</si>
  <si>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</si>
  <si>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</si>
  <si>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</si>
  <si>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</si>
  <si>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</si>
  <si>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</si>
  <si>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</si>
  <si>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</si>
  <si>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</si>
  <si>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</si>
  <si>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</si>
  <si>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</si>
  <si>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</si>
  <si>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</si>
  <si>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</si>
  <si>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</si>
  <si>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</si>
  <si>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</si>
  <si>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</si>
  <si>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</si>
  <si>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</si>
  <si>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</si>
  <si>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</si>
  <si>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</si>
  <si>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</si>
  <si>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</si>
  <si>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</si>
  <si>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</si>
  <si>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</si>
  <si>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</si>
  <si>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</si>
  <si>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</si>
  <si>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</si>
  <si>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</si>
  <si>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</si>
  <si>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</si>
  <si>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</si>
  <si>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</si>
  <si>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</si>
  <si>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</si>
  <si>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</si>
  <si>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</si>
  <si>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</si>
  <si>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</si>
  <si>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</si>
  <si>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</si>
  <si>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</si>
  <si>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</si>
  <si>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</si>
  <si>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</si>
  <si>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</si>
  <si>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</si>
  <si>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</si>
  <si>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</si>
  <si>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</si>
  <si>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</si>
  <si>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</si>
  <si>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</si>
  <si>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</si>
  <si>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</si>
  <si>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</si>
  <si>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</si>
  <si>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</si>
  <si>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</si>
  <si>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</si>
  <si>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</si>
  <si>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</si>
  <si>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</si>
  <si>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</si>
  <si>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</si>
  <si>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</si>
  <si>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</si>
  <si>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</si>
  <si>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</si>
  <si>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</si>
  <si>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</si>
  <si>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</si>
  <si>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</si>
  <si>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</si>
  <si>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</si>
  <si>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</si>
  <si>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</si>
  <si>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</si>
  <si>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</si>
  <si>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</si>
  <si>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</si>
  <si>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</si>
  <si>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</si>
  <si>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</si>
  <si>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</si>
  <si>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</si>
  <si>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</si>
  <si>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</si>
  <si>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</si>
  <si>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</si>
  <si>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</si>
  <si>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</si>
  <si>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</si>
  <si>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</si>
  <si>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</si>
  <si>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</si>
  <si>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</si>
  <si>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</si>
  <si>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</si>
  <si>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</si>
  <si>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</si>
  <si>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</si>
  <si>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</si>
  <si>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</si>
  <si>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</si>
  <si>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</si>
  <si>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</si>
  <si>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</si>
  <si>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</si>
  <si>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</si>
  <si>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</si>
  <si>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</si>
  <si>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</si>
  <si>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</si>
  <si>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</si>
  <si>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</si>
  <si>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</si>
  <si>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</si>
  <si>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</si>
  <si>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</si>
  <si>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</si>
  <si>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</si>
  <si>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</si>
  <si>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</si>
  <si>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</si>
  <si>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</si>
  <si>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</si>
  <si>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</si>
  <si>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</si>
  <si>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</si>
  <si>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</si>
  <si>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</si>
  <si>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</si>
  <si>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</si>
  <si>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</si>
  <si>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</si>
  <si>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</si>
  <si>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</si>
  <si>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</si>
  <si>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</si>
  <si>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</si>
  <si>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</si>
  <si>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</si>
  <si>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</si>
  <si>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</si>
  <si>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</si>
  <si>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</si>
  <si>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</si>
  <si>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</si>
  <si>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</si>
  <si>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</si>
  <si>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</si>
  <si>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</si>
  <si>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</si>
  <si>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</si>
  <si>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</si>
  <si>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</si>
  <si>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</si>
  <si>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</si>
  <si>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</si>
  <si>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</si>
  <si>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</si>
  <si>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</si>
  <si>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</si>
  <si>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</si>
  <si>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</si>
  <si>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</si>
  <si>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</si>
  <si>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</si>
  <si>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</si>
  <si>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</si>
  <si>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</si>
  <si>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</si>
  <si>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</si>
  <si>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</si>
  <si>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</si>
  <si>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</si>
  <si>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</si>
  <si>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</si>
  <si>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</si>
  <si>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</si>
  <si>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</si>
  <si>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</si>
  <si>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</si>
  <si>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</si>
  <si>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</si>
  <si>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</si>
  <si>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</si>
  <si>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</si>
  <si>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</si>
  <si>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</si>
  <si>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</si>
  <si>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</si>
  <si>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</si>
  <si>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</si>
  <si>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</si>
  <si>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</si>
  <si>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</si>
  <si>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</si>
  <si>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</si>
  <si>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</si>
  <si>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</si>
  <si>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</si>
  <si>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</si>
  <si>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</si>
  <si>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</si>
  <si>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</si>
  <si>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</si>
  <si>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</si>
  <si>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</si>
  <si>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</si>
  <si>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</si>
  <si>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</si>
  <si>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</si>
  <si>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</si>
  <si>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</si>
  <si>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</si>
  <si>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</si>
  <si>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</si>
  <si>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</si>
  <si>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</si>
  <si>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</si>
  <si>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</si>
  <si>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</si>
  <si>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</si>
  <si>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</si>
  <si>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</si>
  <si>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</si>
  <si>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</si>
  <si>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</si>
  <si>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</si>
  <si>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</si>
  <si>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</si>
  <si>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</si>
  <si>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</si>
  <si>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</si>
  <si>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</si>
  <si>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</si>
  <si>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</si>
  <si>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</si>
  <si>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</si>
  <si>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</si>
  <si>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</si>
  <si>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</si>
  <si>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</si>
  <si>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</si>
  <si>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</si>
  <si>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</si>
  <si>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</si>
  <si>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</si>
  <si>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</si>
  <si>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</si>
  <si>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</si>
  <si>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</si>
  <si>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</si>
  <si>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</si>
  <si>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</si>
  <si>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</si>
  <si>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</si>
  <si>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</si>
  <si>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</si>
  <si>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</si>
  <si>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</si>
  <si>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</si>
  <si>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</si>
  <si>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</si>
  <si>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</si>
  <si>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</si>
  <si>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</si>
  <si>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</si>
  <si>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</si>
  <si>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</si>
  <si>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</si>
  <si>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</si>
  <si>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</si>
  <si>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</si>
  <si>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</si>
  <si>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</si>
  <si>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</si>
  <si>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</si>
  <si>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</si>
  <si>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</si>
  <si>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</si>
  <si>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</si>
  <si>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</si>
  <si>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</si>
  <si>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</si>
  <si>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</si>
  <si>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</si>
  <si>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</si>
  <si>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</si>
  <si>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</si>
  <si>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</si>
  <si>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</si>
  <si>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</si>
  <si>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</si>
  <si>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</si>
  <si>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</si>
  <si>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</si>
  <si>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</si>
  <si>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</si>
  <si>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</si>
  <si>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</si>
  <si>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</si>
  <si>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</si>
  <si>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</si>
  <si>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</si>
  <si>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</si>
  <si>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</si>
  <si>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</si>
  <si>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</si>
  <si>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</si>
  <si>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</si>
  <si>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</si>
  <si>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</si>
  <si>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</si>
  <si>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</si>
  <si>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</si>
  <si>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</si>
  <si>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</si>
  <si>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</si>
  <si>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</si>
  <si>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</si>
  <si>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</si>
  <si>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</si>
  <si>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</si>
  <si>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</si>
  <si>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</si>
  <si>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</si>
  <si>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</si>
  <si>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</si>
  <si>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</si>
  <si>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</si>
  <si>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</si>
  <si>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</si>
  <si>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</si>
  <si>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</si>
  <si>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</si>
  <si>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</si>
  <si>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</si>
  <si>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</si>
  <si>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</si>
  <si>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</si>
  <si>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</si>
  <si>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</si>
  <si>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</si>
  <si>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</si>
  <si>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</si>
  <si>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</si>
  <si>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</si>
  <si>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</si>
  <si>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</si>
  <si>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</si>
  <si>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</si>
  <si>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</si>
  <si>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</si>
  <si>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</si>
  <si>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</si>
  <si>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</si>
  <si>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</si>
  <si>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</si>
  <si>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</si>
  <si>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</si>
  <si>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</si>
  <si>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</si>
  <si>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</si>
  <si>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</si>
  <si>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</si>
  <si>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</si>
  <si>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</si>
  <si>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</si>
  <si>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</si>
  <si>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</si>
  <si>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</si>
  <si>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</si>
  <si>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</si>
  <si>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</si>
  <si>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</si>
  <si>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</si>
  <si>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</si>
  <si>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</si>
  <si>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</si>
  <si>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</si>
  <si>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</si>
  <si>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</si>
  <si>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</si>
  <si>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</si>
  <si>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</si>
  <si>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</si>
  <si>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</si>
  <si>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</si>
  <si>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</si>
  <si>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</si>
  <si>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</si>
  <si>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</si>
  <si>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</si>
  <si>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</si>
  <si>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</si>
  <si>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</si>
  <si>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</si>
  <si>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</si>
  <si>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</si>
  <si>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</si>
  <si>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</si>
  <si>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</si>
  <si>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</si>
  <si>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</si>
  <si>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</si>
  <si>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</si>
  <si>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</si>
  <si>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</si>
  <si>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</si>
  <si>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</si>
  <si>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</si>
  <si>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</si>
  <si>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</si>
  <si>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</si>
  <si>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</si>
  <si>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</si>
  <si>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</si>
  <si>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</si>
  <si>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</si>
  <si>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</si>
  <si>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</si>
  <si>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</si>
  <si>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</si>
  <si>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</si>
  <si>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</si>
  <si>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</si>
  <si>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</si>
  <si>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</si>
  <si>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</si>
  <si>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</si>
  <si>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</si>
  <si>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</si>
  <si>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</si>
  <si>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</si>
  <si>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</si>
  <si>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</si>
  <si>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</si>
  <si>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</si>
  <si>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</si>
  <si>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</si>
  <si>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</si>
  <si>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</si>
  <si>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</si>
  <si>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</si>
  <si>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</si>
  <si>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</si>
  <si>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</si>
  <si>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</si>
  <si>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</si>
  <si>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</si>
  <si>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</si>
  <si>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</si>
  <si>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</si>
  <si>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</si>
  <si>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</si>
  <si>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</si>
  <si>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</si>
  <si>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</si>
  <si>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</si>
  <si>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</si>
  <si>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</si>
  <si>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</si>
  <si>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</si>
  <si>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</si>
  <si>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</si>
  <si>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</si>
  <si>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</si>
  <si>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</si>
  <si>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</si>
  <si>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</si>
  <si>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</si>
  <si>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</si>
  <si>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</si>
  <si>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</si>
  <si>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</si>
  <si>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</si>
  <si>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</si>
  <si>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</si>
  <si>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</si>
  <si>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</si>
  <si>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</si>
  <si>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</si>
  <si>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</si>
  <si>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</si>
  <si>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</si>
  <si>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</si>
  <si>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</si>
  <si>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</si>
  <si>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</si>
  <si>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</si>
  <si>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</si>
  <si>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</si>
  <si>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</si>
  <si>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</si>
  <si>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</si>
  <si>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</si>
  <si>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</si>
  <si>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</si>
  <si>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</si>
  <si>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</si>
  <si>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</si>
  <si>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</si>
  <si>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</si>
  <si>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</si>
  <si>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</si>
  <si>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</si>
  <si>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</si>
  <si>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</si>
  <si>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</si>
  <si>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</si>
  <si>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</si>
  <si>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</si>
  <si>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</si>
  <si>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</si>
  <si>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</si>
  <si>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</si>
  <si>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</si>
  <si>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</si>
  <si>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</si>
  <si>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</si>
  <si>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</si>
  <si>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</si>
  <si>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</si>
  <si>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</si>
  <si>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</si>
  <si>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</si>
  <si>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</si>
  <si>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</si>
  <si>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</si>
  <si>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</si>
  <si>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</si>
  <si>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</si>
  <si>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</si>
  <si>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</si>
  <si>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</si>
  <si>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</si>
  <si>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</si>
  <si>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</si>
  <si>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</si>
  <si>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</si>
  <si>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</si>
  <si>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</si>
  <si>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</si>
  <si>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</si>
  <si>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</si>
  <si>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</si>
  <si>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</si>
  <si>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</si>
  <si>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</si>
  <si>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</si>
  <si>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</si>
  <si>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</si>
  <si>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</si>
  <si>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</si>
  <si>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</si>
  <si>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</si>
  <si>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</si>
  <si>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</si>
  <si>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</si>
  <si>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</si>
  <si>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</si>
  <si>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</si>
  <si>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</si>
  <si>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</si>
  <si>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</si>
  <si>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</si>
  <si>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</si>
  <si>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</si>
  <si>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</si>
  <si>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</si>
  <si>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</si>
  <si>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</si>
  <si>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</si>
  <si>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</si>
  <si>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</si>
  <si>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</si>
  <si>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</si>
  <si>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</si>
  <si>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</si>
  <si>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</si>
  <si>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</si>
  <si>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</si>
  <si>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</si>
  <si>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</si>
  <si>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</si>
  <si>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</si>
  <si>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</si>
  <si>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</si>
  <si>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</si>
  <si>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</si>
  <si>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</si>
  <si>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</si>
  <si>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</si>
  <si>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</si>
  <si>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</si>
  <si>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</si>
  <si>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</si>
  <si>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</si>
  <si>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</si>
  <si>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</si>
  <si>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</si>
  <si>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</si>
  <si>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</si>
  <si>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</si>
  <si>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</si>
  <si>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</si>
  <si>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</si>
  <si>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</si>
  <si>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</si>
  <si>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</si>
  <si>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</si>
  <si>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</si>
  <si>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</si>
  <si>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</si>
  <si>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</si>
  <si>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</si>
  <si>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</si>
  <si>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</si>
  <si>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</si>
  <si>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</si>
  <si>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</si>
  <si>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</si>
  <si>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</si>
  <si>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</si>
  <si>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</si>
  <si>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</si>
  <si>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</si>
  <si>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</si>
  <si>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</si>
  <si>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</si>
  <si>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</si>
  <si>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</si>
  <si>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</si>
  <si>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</si>
  <si>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</si>
  <si>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</si>
  <si>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</si>
  <si>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</si>
  <si>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</si>
  <si>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</si>
  <si>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</si>
  <si>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</si>
  <si>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</si>
  <si>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</si>
  <si>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</si>
  <si>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</si>
  <si>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</si>
  <si>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</si>
  <si>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</si>
  <si>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</si>
  <si>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</si>
  <si>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</si>
  <si>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</si>
  <si>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</si>
  <si>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</si>
  <si>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</si>
  <si>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</si>
  <si>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</si>
  <si>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</si>
  <si>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</si>
  <si>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</si>
  <si>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</si>
  <si>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</si>
  <si>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</si>
  <si>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</si>
  <si>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</si>
  <si>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</si>
  <si>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</si>
  <si>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</si>
  <si>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</si>
  <si>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</si>
  <si>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</si>
  <si>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</si>
  <si>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</si>
  <si>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</si>
  <si>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</si>
  <si>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</si>
  <si>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</si>
  <si>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</si>
  <si>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</si>
  <si>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</si>
  <si>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</si>
  <si>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</si>
  <si>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</si>
  <si>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</si>
  <si>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</si>
  <si>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</si>
  <si>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</si>
  <si>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</si>
  <si>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</si>
  <si>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</si>
  <si>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</si>
  <si>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</si>
  <si>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</si>
  <si>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</si>
  <si>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</si>
  <si>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</si>
  <si>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</si>
  <si>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</si>
  <si>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</si>
  <si>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</si>
  <si>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</si>
  <si>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</si>
  <si>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</si>
  <si>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</si>
  <si>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</si>
  <si>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</si>
  <si>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</si>
  <si>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</si>
  <si>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</si>
  <si>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</si>
  <si>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</si>
  <si>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</si>
  <si>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</si>
  <si>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</si>
  <si>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</si>
  <si>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</si>
  <si>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</si>
  <si>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</si>
  <si>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</si>
  <si>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</si>
  <si>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</si>
  <si>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</si>
  <si>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</si>
  <si>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</si>
  <si>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</si>
  <si>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</si>
  <si>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</si>
  <si>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</si>
  <si>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</si>
  <si>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</si>
  <si>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</si>
  <si>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</si>
  <si>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</si>
  <si>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</si>
  <si>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</si>
  <si>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</si>
  <si>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</si>
  <si>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</si>
  <si>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</si>
  <si>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</si>
  <si>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</si>
  <si>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</si>
  <si>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</si>
  <si>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</si>
  <si>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</si>
  <si>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</si>
  <si>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</si>
  <si>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</si>
  <si>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</si>
  <si>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</si>
  <si>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</si>
  <si>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</si>
  <si>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</si>
  <si>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</si>
  <si>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</si>
  <si>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</si>
  <si>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</si>
  <si>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</si>
  <si>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</si>
  <si>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</si>
  <si>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</si>
  <si>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</si>
  <si>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</si>
  <si>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</si>
  <si>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</si>
  <si>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</si>
  <si>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</si>
  <si>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</si>
  <si>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</si>
  <si>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</si>
  <si>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</si>
  <si>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</si>
  <si>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</si>
  <si>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</si>
  <si>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</si>
  <si>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</si>
  <si>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</si>
  <si>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</si>
  <si>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</si>
  <si>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</si>
  <si>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</si>
  <si>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</si>
  <si>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</si>
  <si>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</si>
  <si>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</si>
  <si>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</si>
  <si>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</si>
  <si>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</si>
  <si>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</si>
  <si>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</si>
  <si>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</si>
  <si>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</si>
  <si>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</si>
  <si>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</si>
  <si>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</si>
  <si>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</si>
  <si>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</si>
  <si>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</si>
  <si>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</si>
  <si>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</si>
  <si>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</si>
  <si>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</si>
  <si>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</si>
  <si>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</si>
  <si>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</si>
  <si>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</si>
  <si>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</si>
  <si>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</si>
  <si>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</si>
  <si>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</si>
  <si>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</si>
  <si>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</si>
  <si>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</si>
  <si>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</si>
  <si>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</si>
  <si>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</si>
  <si>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</si>
  <si>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</si>
  <si>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</si>
  <si>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</si>
  <si>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</si>
  <si>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</si>
  <si>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</si>
  <si>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</si>
  <si>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</si>
  <si>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</si>
  <si>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</si>
  <si>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</si>
  <si>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</si>
  <si>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</si>
  <si>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</si>
  <si>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</si>
  <si>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</si>
  <si>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</si>
  <si>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</si>
  <si>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</si>
  <si>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</si>
  <si>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</si>
  <si>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</si>
  <si>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</si>
  <si>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</si>
  <si>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</si>
  <si>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</si>
  <si>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</si>
  <si>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</si>
  <si>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</si>
  <si>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</si>
  <si>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</si>
  <si>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</si>
  <si>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</si>
  <si>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</si>
  <si>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</si>
  <si>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</si>
  <si>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</si>
  <si>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</si>
  <si>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</si>
  <si>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</si>
  <si>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</si>
  <si>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</si>
  <si>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</si>
  <si>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</si>
  <si>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</si>
  <si>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</si>
  <si>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</si>
  <si>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</si>
  <si>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</si>
  <si>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</si>
  <si>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</si>
  <si>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</si>
  <si>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</si>
  <si>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</si>
  <si>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</si>
  <si>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</si>
  <si>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</si>
  <si>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</si>
  <si>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</si>
  <si>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</si>
  <si>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</si>
  <si>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</si>
  <si>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</si>
  <si>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</si>
  <si>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</si>
  <si>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</si>
  <si>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</si>
  <si>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</si>
  <si>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</si>
  <si>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</si>
  <si>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</si>
  <si>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</si>
  <si>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</si>
  <si>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</si>
  <si>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</si>
  <si>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</si>
  <si>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</si>
  <si>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</si>
  <si>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</si>
  <si>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</si>
  <si>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</si>
  <si>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</si>
  <si>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</si>
  <si>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</si>
  <si>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</si>
  <si>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</si>
  <si>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</si>
  <si>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</si>
  <si>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</si>
  <si>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</si>
  <si>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</si>
  <si>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</si>
  <si>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</si>
  <si>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</si>
  <si>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</si>
  <si>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</si>
  <si>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</si>
  <si>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</si>
  <si>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</si>
  <si>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</si>
  <si>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</si>
  <si>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</si>
  <si>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</si>
  <si>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</si>
  <si>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</si>
  <si>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</si>
  <si>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</si>
  <si>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</si>
  <si>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</si>
  <si>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</si>
  <si>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</si>
  <si>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</si>
  <si>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</si>
  <si>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</si>
  <si>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</si>
  <si>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</si>
  <si>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</si>
  <si>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</si>
  <si>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</si>
  <si>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</si>
  <si>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</si>
  <si>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</si>
  <si>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</si>
  <si>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</si>
  <si>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</si>
  <si>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</si>
  <si>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</si>
  <si>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</si>
  <si>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</si>
  <si>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</si>
  <si>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</si>
  <si>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</si>
  <si>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</si>
  <si>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</si>
  <si>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</si>
  <si>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</si>
  <si>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</si>
  <si>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</si>
  <si>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</si>
  <si>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</si>
  <si>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</si>
  <si>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</si>
  <si>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</si>
  <si>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</si>
  <si>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</si>
  <si>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</si>
  <si>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</si>
  <si>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</si>
  <si>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</si>
  <si>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</si>
  <si>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</si>
  <si>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</si>
  <si>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</si>
  <si>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</si>
  <si>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</si>
  <si>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</si>
  <si>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</si>
  <si>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</si>
  <si>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</si>
  <si>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</si>
  <si>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</si>
  <si>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</si>
  <si>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</si>
  <si>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</si>
  <si>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</si>
  <si>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</si>
  <si>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</si>
  <si>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</si>
  <si>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</si>
  <si>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</si>
  <si>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</si>
  <si>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</si>
  <si>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</si>
  <si>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</si>
  <si>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</si>
  <si>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</si>
  <si>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</si>
  <si>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</si>
  <si>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</si>
  <si>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</si>
  <si>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</si>
  <si>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</si>
  <si>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</si>
  <si>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</si>
  <si>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</si>
  <si>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</si>
  <si>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</si>
  <si>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</si>
  <si>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</si>
  <si>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</si>
  <si>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</si>
  <si>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</si>
  <si>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</si>
  <si>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</si>
  <si>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</si>
  <si>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</si>
  <si>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</si>
  <si>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</si>
  <si>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</si>
  <si>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</si>
  <si>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</si>
  <si>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</si>
  <si>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</si>
  <si>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</si>
  <si>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</si>
  <si>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</si>
  <si>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</si>
  <si>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</si>
  <si>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</si>
  <si>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</si>
  <si>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</si>
  <si>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</si>
  <si>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</si>
  <si>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</si>
  <si>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</si>
  <si>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</si>
  <si>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</si>
  <si>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</si>
  <si>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</si>
  <si>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</si>
  <si>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</si>
  <si>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</si>
  <si>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</si>
  <si>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</si>
  <si>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</si>
  <si>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</si>
  <si>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</si>
  <si>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</si>
  <si>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</si>
  <si>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</si>
  <si>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</si>
  <si>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</si>
  <si>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</si>
  <si>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</si>
  <si>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</si>
  <si>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</si>
  <si>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</si>
  <si>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</si>
  <si>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</si>
  <si>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</si>
  <si>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</si>
  <si>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</si>
  <si>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</si>
  <si>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</si>
  <si>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</si>
  <si>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</si>
  <si>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</si>
  <si>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</si>
  <si>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</si>
  <si>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</si>
  <si>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</si>
  <si>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</si>
  <si>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</si>
  <si>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</si>
  <si>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</si>
  <si>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</si>
  <si>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</si>
  <si>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</si>
  <si>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</si>
  <si>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</si>
  <si>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</si>
  <si>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</si>
  <si>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</si>
  <si>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</si>
  <si>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</si>
  <si>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</si>
  <si>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</si>
  <si>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</si>
  <si>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</si>
  <si>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</si>
  <si>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</si>
  <si>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</si>
  <si>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</si>
  <si>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</si>
  <si>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</si>
  <si>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</si>
  <si>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</si>
  <si>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</si>
  <si>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</si>
  <si>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</si>
  <si>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</si>
  <si>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</si>
  <si>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</si>
  <si>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</si>
  <si>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</si>
  <si>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</si>
  <si>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</si>
  <si>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</si>
  <si>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</si>
  <si>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</si>
  <si>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</si>
  <si>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</si>
  <si>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</si>
  <si>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</si>
  <si>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</si>
  <si>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</si>
  <si>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</si>
  <si>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</si>
  <si>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</si>
  <si>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</si>
  <si>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</si>
  <si>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</si>
  <si>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</si>
  <si>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</si>
  <si>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</si>
  <si>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</si>
  <si>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</si>
  <si>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</si>
  <si>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</si>
  <si>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</si>
  <si>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</si>
  <si>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</si>
  <si>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</si>
  <si>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</si>
  <si>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</si>
  <si>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</si>
  <si>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</si>
  <si>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</si>
  <si>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</si>
  <si>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</si>
  <si>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</si>
  <si>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</si>
  <si>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</si>
  <si>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</si>
  <si>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</si>
  <si>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</si>
  <si>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</si>
  <si>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</si>
  <si>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</si>
  <si>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</si>
  <si>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</si>
  <si>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</si>
  <si>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</si>
  <si>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</si>
  <si>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</si>
  <si>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</si>
  <si>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</si>
  <si>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</si>
  <si>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</si>
  <si>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</si>
  <si>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</si>
  <si>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</si>
  <si>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</si>
  <si>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</si>
  <si>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</si>
  <si>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</si>
  <si>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</si>
  <si>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</si>
  <si>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</si>
  <si>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</si>
  <si>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</si>
  <si>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</si>
  <si>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</si>
  <si>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</si>
  <si>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</si>
  <si>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</si>
  <si>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</si>
  <si>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</si>
  <si>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</si>
  <si>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</si>
  <si>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</si>
  <si>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</si>
  <si>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</si>
  <si>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</si>
  <si>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</si>
  <si>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</si>
  <si>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</si>
  <si>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</si>
  <si>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</si>
  <si>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</si>
  <si>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</si>
  <si>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</si>
  <si>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</si>
  <si>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</si>
  <si>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</si>
  <si>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</si>
  <si>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</si>
  <si>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</si>
  <si>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</si>
  <si>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</si>
  <si>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</si>
  <si>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</si>
  <si>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</si>
  <si>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</si>
  <si>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</si>
  <si>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</si>
  <si>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</si>
  <si>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</si>
  <si>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</si>
  <si>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</si>
  <si>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</si>
  <si>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</si>
  <si>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</si>
  <si>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</si>
  <si>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</si>
  <si>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</si>
  <si>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</si>
  <si>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</si>
  <si>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</si>
  <si>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</si>
  <si>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</si>
  <si>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</si>
  <si>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</si>
  <si>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</si>
  <si>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</si>
  <si>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</si>
  <si>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</si>
  <si>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</si>
  <si>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</si>
  <si>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</si>
  <si>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</si>
  <si>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</si>
  <si>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</si>
  <si>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</si>
  <si>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</si>
  <si>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</si>
  <si>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</si>
  <si>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</si>
  <si>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</si>
  <si>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</si>
  <si>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</si>
  <si>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</si>
  <si>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</si>
  <si>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</si>
  <si>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</si>
  <si>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</si>
  <si>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</si>
  <si>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</si>
  <si>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</si>
  <si>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</si>
  <si>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</si>
  <si>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</si>
  <si>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</si>
  <si>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</si>
  <si>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</si>
  <si>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</si>
  <si>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</si>
  <si>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</si>
  <si>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</si>
  <si>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</si>
  <si>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</si>
  <si>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</si>
  <si>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</si>
  <si>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</si>
  <si>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</si>
  <si>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</si>
  <si>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</si>
  <si>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</si>
  <si>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</si>
  <si>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</si>
  <si>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</si>
  <si>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</si>
  <si>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</si>
  <si>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</si>
  <si>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</si>
  <si>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</si>
  <si>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</si>
  <si>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</si>
  <si>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</si>
  <si>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</si>
  <si>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</si>
  <si>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</si>
  <si>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</si>
  <si>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</si>
  <si>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</si>
  <si>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</si>
  <si>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</si>
  <si>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</si>
  <si>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</si>
  <si>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</si>
  <si>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</si>
  <si>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</si>
  <si>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</si>
  <si>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</si>
  <si>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</si>
  <si>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</si>
  <si>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</si>
  <si>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</si>
  <si>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</si>
  <si>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</si>
  <si>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</si>
  <si>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</si>
  <si>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</si>
  <si>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</si>
  <si>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</si>
  <si>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</si>
  <si>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</si>
  <si>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</si>
  <si>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</si>
  <si>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</si>
  <si>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</si>
  <si>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</si>
  <si>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</si>
  <si>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</si>
  <si>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</si>
  <si>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</si>
  <si>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</si>
  <si>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</si>
  <si>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</si>
  <si>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</si>
  <si>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</si>
  <si>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</si>
  <si>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</si>
  <si>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</si>
  <si>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</si>
  <si>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</si>
  <si>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</si>
  <si>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</si>
  <si>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</si>
  <si>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</si>
  <si>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</si>
  <si>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</si>
  <si>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</si>
  <si>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</si>
  <si>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</si>
  <si>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</si>
  <si>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</si>
  <si>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</si>
  <si>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</si>
  <si>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</si>
  <si>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</si>
  <si>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</si>
  <si>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</si>
  <si>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</si>
  <si>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</si>
  <si>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</si>
  <si>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</si>
  <si>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</si>
  <si>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</si>
  <si>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</si>
  <si>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</si>
  <si>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</si>
  <si>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</si>
  <si>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</si>
  <si>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</si>
  <si>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</si>
  <si>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</si>
  <si>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</si>
  <si>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</si>
  <si>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</si>
  <si>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</si>
  <si>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</si>
  <si>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</si>
  <si>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</si>
  <si>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</si>
  <si>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</si>
  <si>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</si>
  <si>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</si>
  <si>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</si>
  <si>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</si>
  <si>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</si>
  <si>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</si>
  <si>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</si>
  <si>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</si>
  <si>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</si>
  <si>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</si>
  <si>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</si>
  <si>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</si>
  <si>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</si>
  <si>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</si>
  <si>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</si>
  <si>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</si>
  <si>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</si>
  <si>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</si>
  <si>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</si>
  <si>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</si>
  <si>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</si>
  <si>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</si>
  <si>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</si>
  <si>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</si>
  <si>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</si>
  <si>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</si>
  <si>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</si>
  <si>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</si>
  <si>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</si>
  <si>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</si>
  <si>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</si>
  <si>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</si>
  <si>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</si>
  <si>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</si>
  <si>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</si>
  <si>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</si>
  <si>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</si>
  <si>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</si>
  <si>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</si>
  <si>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</si>
  <si>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</si>
  <si>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</si>
  <si>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</si>
  <si>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</si>
  <si>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</si>
  <si>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</si>
  <si>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</si>
  <si>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</si>
  <si>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</si>
  <si>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</si>
  <si>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</si>
  <si>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</si>
  <si>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</si>
  <si>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</si>
  <si>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</si>
  <si>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</si>
  <si>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</si>
  <si>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</si>
  <si>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</si>
  <si>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</si>
  <si>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</si>
  <si>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</si>
  <si>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</si>
  <si>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</si>
  <si>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</si>
  <si>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</si>
  <si>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</si>
  <si>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</si>
  <si>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</si>
  <si>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</si>
  <si>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</si>
  <si>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</si>
  <si>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</si>
  <si>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</si>
  <si>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</si>
  <si>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</si>
  <si>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</si>
  <si>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</si>
  <si>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</si>
  <si>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</si>
  <si>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</si>
  <si>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</si>
  <si>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</si>
  <si>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</si>
  <si>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</si>
  <si>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</si>
  <si>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</si>
  <si>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</si>
  <si>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</si>
  <si>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</si>
  <si>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</si>
  <si>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</si>
  <si>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</si>
  <si>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</si>
  <si>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</si>
  <si>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</si>
  <si>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</si>
  <si>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</si>
  <si>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</si>
  <si>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</si>
  <si>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</si>
  <si>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</si>
  <si>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</si>
  <si>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</si>
  <si>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</si>
  <si>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</si>
  <si>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</si>
  <si>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</si>
  <si>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</si>
  <si>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</si>
  <si>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</si>
  <si>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</si>
  <si>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</si>
  <si>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</si>
  <si>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</si>
  <si>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</si>
  <si>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</si>
  <si>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</si>
  <si>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</si>
  <si>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</si>
  <si>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</si>
  <si>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</si>
  <si>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</si>
  <si>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</si>
  <si>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</si>
  <si>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</si>
  <si>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</si>
  <si>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</si>
  <si>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</si>
  <si>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</si>
  <si>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</si>
  <si>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</si>
  <si>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</si>
  <si>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</si>
  <si>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</si>
  <si>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</si>
  <si>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</si>
  <si>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</si>
  <si>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</si>
  <si>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</si>
  <si>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</si>
  <si>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</si>
  <si>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</si>
  <si>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</si>
  <si>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</si>
  <si>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</si>
  <si>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</si>
  <si>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</si>
  <si>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</si>
  <si>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</si>
  <si>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</si>
  <si>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</si>
  <si>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</si>
  <si>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</si>
  <si>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</si>
  <si>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</si>
  <si>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</si>
  <si>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</si>
  <si>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</si>
  <si>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</si>
  <si>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</si>
  <si>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</si>
  <si>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</si>
  <si>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</si>
  <si>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</si>
  <si>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</si>
  <si>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</si>
  <si>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</si>
  <si>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</si>
  <si>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</si>
  <si>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</si>
  <si>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</si>
  <si>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</si>
  <si>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</si>
  <si>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</si>
  <si>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</si>
  <si>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</si>
  <si>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</si>
  <si>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</si>
  <si>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</si>
  <si>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</si>
  <si>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</si>
  <si>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</si>
  <si>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</si>
  <si>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</si>
  <si>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</si>
  <si>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</si>
  <si>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</si>
  <si>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</si>
  <si>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</si>
  <si>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</si>
  <si>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</si>
  <si>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</si>
  <si>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</si>
  <si>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</si>
  <si>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</si>
  <si>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</si>
  <si>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</si>
  <si>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</si>
  <si>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</si>
  <si>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</si>
  <si>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</si>
  <si>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</si>
  <si>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</si>
  <si>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</si>
  <si>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</si>
  <si>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</si>
  <si>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</si>
  <si>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</si>
  <si>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</si>
  <si>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</si>
  <si>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</si>
  <si>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</si>
  <si>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</si>
  <si>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</si>
  <si>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</si>
  <si>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</si>
  <si>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</si>
  <si>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</si>
  <si>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</si>
  <si>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</si>
  <si>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</si>
  <si>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</si>
  <si>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</si>
  <si>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</si>
  <si>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</si>
  <si>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</si>
  <si>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</si>
  <si>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</si>
  <si>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</si>
  <si>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</si>
  <si>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</si>
  <si>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</si>
  <si>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</si>
  <si>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</si>
  <si>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</si>
  <si>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</si>
  <si>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</si>
  <si>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</si>
  <si>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</si>
  <si>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</si>
  <si>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</si>
  <si>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</si>
  <si>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</si>
  <si>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</si>
  <si>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</si>
  <si>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</si>
  <si>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</si>
  <si>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</si>
  <si>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</si>
  <si>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</si>
  <si>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</si>
  <si>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</si>
  <si>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</si>
  <si>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</si>
  <si>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</si>
  <si>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</si>
  <si>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</si>
  <si>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</si>
  <si>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</si>
  <si>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</si>
  <si>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</si>
  <si>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</si>
  <si>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</si>
  <si>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</si>
  <si>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</si>
  <si>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</si>
  <si>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</si>
  <si>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</si>
  <si>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</si>
  <si>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</si>
  <si>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</si>
  <si>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</si>
  <si>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</si>
  <si>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</si>
  <si>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</si>
  <si>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</si>
  <si>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</si>
  <si>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</si>
  <si>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</si>
  <si>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</si>
  <si>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</si>
  <si>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</si>
  <si>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</si>
  <si>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</si>
  <si>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</si>
  <si>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</si>
  <si>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</si>
  <si>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</si>
  <si>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</si>
  <si>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</si>
  <si>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</si>
  <si>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</si>
  <si>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</si>
  <si>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</si>
  <si>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</si>
  <si>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</si>
  <si>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</si>
  <si>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</si>
  <si>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</si>
  <si>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</si>
  <si>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</si>
  <si>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</si>
  <si>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</si>
  <si>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</si>
  <si>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</si>
  <si>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</si>
  <si>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</si>
  <si>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</si>
  <si>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</si>
  <si>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</si>
  <si>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</si>
  <si>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</si>
  <si>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</si>
  <si>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</si>
  <si>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</si>
  <si>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</si>
  <si>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</si>
  <si>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</si>
  <si>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</si>
  <si>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</si>
  <si>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</si>
  <si>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</si>
  <si>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</si>
  <si>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</si>
  <si>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</si>
  <si>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</si>
  <si>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</si>
  <si>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</si>
  <si>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</si>
  <si>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</si>
  <si>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</si>
  <si>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</si>
  <si>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</si>
  <si>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</si>
  <si>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</si>
  <si>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</si>
  <si>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</si>
  <si>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</si>
  <si>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</si>
  <si>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</si>
  <si>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</si>
  <si>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</si>
  <si>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</si>
  <si>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</si>
  <si>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</si>
  <si>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</si>
  <si>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</si>
  <si>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</si>
  <si>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</si>
  <si>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</si>
  <si>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</si>
  <si>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</si>
  <si>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</si>
  <si>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</si>
  <si>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</si>
  <si>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</si>
  <si>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</si>
  <si>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</si>
  <si>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</si>
  <si>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</si>
  <si>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</si>
  <si>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</si>
  <si>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</si>
  <si>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</si>
  <si>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</si>
  <si>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</si>
  <si>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</si>
  <si>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</si>
  <si>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</si>
  <si>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</si>
  <si>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</si>
  <si>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</si>
  <si>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</si>
  <si>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</si>
  <si>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</si>
  <si>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</si>
  <si>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</si>
  <si>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</si>
  <si>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</si>
  <si>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</si>
  <si>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</si>
  <si>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</si>
  <si>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</si>
  <si>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</si>
  <si>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</si>
  <si>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</si>
  <si>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</si>
  <si>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</si>
  <si>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</si>
  <si>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</si>
  <si>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</si>
  <si>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</si>
  <si>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</si>
  <si>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</si>
  <si>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</si>
  <si>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</si>
  <si>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</si>
  <si>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</si>
  <si>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</si>
  <si>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</si>
  <si>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</si>
  <si>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</si>
  <si>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</si>
  <si>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</si>
  <si>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</si>
  <si>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</si>
  <si>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</si>
  <si>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</si>
  <si>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</si>
  <si>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</si>
  <si>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</si>
  <si>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</si>
  <si>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</si>
  <si>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</si>
  <si>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</si>
  <si>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</si>
  <si>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</si>
  <si>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</si>
  <si>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</si>
  <si>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</si>
  <si>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</si>
  <si>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</si>
  <si>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</si>
  <si>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</si>
  <si>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</si>
  <si>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</si>
  <si>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</si>
  <si>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</si>
  <si>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</si>
  <si>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</si>
  <si>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</si>
  <si>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</si>
  <si>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</si>
  <si>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</si>
  <si>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</si>
  <si>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</si>
  <si>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</si>
  <si>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</si>
  <si>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</si>
  <si>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</si>
  <si>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</si>
  <si>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</si>
  <si>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</si>
  <si>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</si>
  <si>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</si>
  <si>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</si>
  <si>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</si>
  <si>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</si>
  <si>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</si>
  <si>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</si>
  <si>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</si>
  <si>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</si>
  <si>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</si>
  <si>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</si>
  <si>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</si>
  <si>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</si>
  <si>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</si>
  <si>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</si>
  <si>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</si>
  <si>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</si>
  <si>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</si>
  <si>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</si>
  <si>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</si>
  <si>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</si>
  <si>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</si>
  <si>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</si>
  <si>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</si>
  <si>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</si>
  <si>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</si>
  <si>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</si>
  <si>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</si>
  <si>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</si>
  <si>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</si>
  <si>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</si>
  <si>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</si>
  <si>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</si>
  <si>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</si>
  <si>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</si>
  <si>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</si>
  <si>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</si>
  <si>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</si>
  <si>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</si>
  <si>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</si>
  <si>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</si>
  <si>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</si>
  <si>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</si>
  <si>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</si>
  <si>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</si>
  <si>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</si>
  <si>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</si>
  <si>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</si>
  <si>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</si>
  <si>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</si>
  <si>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</si>
  <si>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</si>
  <si>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</si>
  <si>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</si>
  <si>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</si>
  <si>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</si>
  <si>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</si>
  <si>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</si>
  <si>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</si>
  <si>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</si>
  <si>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</si>
  <si>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</si>
  <si>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</si>
  <si>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</si>
  <si>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</si>
  <si>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</si>
  <si>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</si>
  <si>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</si>
  <si>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</si>
  <si>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</si>
  <si>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</si>
  <si>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</si>
  <si>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</si>
  <si>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</si>
  <si>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</si>
  <si>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</si>
  <si>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</si>
  <si>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</si>
  <si>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</si>
  <si>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</si>
  <si>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</si>
  <si>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</si>
  <si>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</si>
  <si>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</si>
  <si>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</si>
  <si>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</si>
  <si>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</si>
  <si>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</si>
  <si>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</si>
  <si>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</si>
  <si>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</si>
  <si>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</si>
  <si>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</si>
  <si>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</si>
  <si>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</si>
  <si>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</si>
  <si>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</si>
  <si>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</si>
  <si>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</si>
  <si>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</si>
  <si>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</si>
  <si>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</si>
  <si>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</si>
  <si>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</si>
  <si>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</si>
  <si>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</si>
  <si>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</si>
  <si>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</si>
  <si>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</si>
  <si>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</si>
  <si>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</si>
  <si>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</si>
  <si>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</si>
  <si>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</si>
  <si>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</si>
  <si>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</si>
  <si>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</si>
  <si>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</si>
  <si>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</si>
  <si>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</si>
  <si>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</si>
  <si>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</si>
  <si>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</si>
  <si>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</si>
  <si>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</si>
  <si>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</si>
  <si>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</si>
  <si>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</si>
  <si>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</si>
  <si>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</si>
  <si>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</si>
  <si>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</si>
  <si>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</si>
  <si>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</si>
  <si>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</si>
  <si>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</si>
  <si>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</si>
  <si>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</si>
  <si>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</si>
  <si>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</si>
  <si>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</si>
  <si>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</si>
  <si>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</si>
  <si>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</si>
  <si>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</si>
  <si>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</si>
  <si>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</si>
  <si>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</si>
  <si>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</si>
  <si>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</si>
  <si>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</si>
  <si>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</si>
  <si>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</si>
  <si>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</si>
  <si>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</si>
  <si>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</si>
  <si>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</si>
  <si>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</si>
  <si>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</si>
  <si>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</si>
  <si>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</si>
  <si>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</si>
  <si>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</si>
  <si>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</si>
  <si>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</si>
  <si>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</si>
  <si>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</si>
  <si>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</si>
  <si>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</si>
  <si>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</si>
  <si>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</si>
  <si>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</si>
  <si>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</si>
  <si>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</si>
  <si>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</si>
  <si>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</si>
  <si>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</si>
  <si>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</si>
  <si>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</si>
  <si>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</si>
  <si>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</si>
  <si>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</si>
  <si>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</si>
  <si>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</si>
  <si>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</si>
  <si>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</si>
  <si>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</si>
  <si>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</si>
  <si>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</si>
  <si>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</si>
  <si>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</si>
  <si>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</si>
  <si>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</si>
  <si>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</si>
  <si>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</si>
  <si>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</si>
  <si>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</si>
  <si>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</si>
  <si>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</si>
  <si>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</si>
  <si>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</si>
  <si>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</si>
  <si>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</si>
  <si>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</si>
  <si>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</si>
  <si>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</si>
  <si>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</si>
  <si>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</si>
  <si>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</si>
  <si>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</si>
  <si>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</si>
  <si>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</si>
  <si>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</si>
  <si>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</si>
  <si>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</si>
  <si>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</si>
  <si>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</si>
  <si>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</si>
  <si>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</si>
  <si>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</si>
  <si>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</si>
  <si>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</si>
  <si>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</si>
  <si>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</si>
  <si>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</si>
  <si>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</si>
  <si>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</si>
  <si>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</si>
  <si>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</si>
  <si>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</si>
  <si>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</si>
  <si>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</si>
  <si>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</si>
  <si>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</si>
  <si>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</si>
  <si>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</si>
  <si>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</si>
  <si>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</si>
  <si>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</si>
  <si>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</si>
  <si>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</si>
  <si>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</si>
  <si>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</si>
  <si>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</si>
  <si>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</si>
  <si>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</si>
  <si>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</si>
  <si>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</si>
  <si>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</si>
  <si>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</si>
  <si>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</si>
  <si>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</si>
  <si>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</si>
  <si>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</si>
  <si>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</si>
  <si>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</si>
  <si>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</si>
  <si>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</si>
  <si>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</si>
  <si>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</si>
  <si>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</si>
  <si>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</si>
  <si>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</si>
  <si>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</si>
  <si>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</si>
  <si>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</si>
  <si>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</si>
  <si>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</si>
  <si>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</si>
  <si>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</si>
  <si>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</si>
  <si>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</si>
  <si>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</si>
  <si>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</si>
  <si>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</si>
  <si>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</si>
  <si>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</si>
  <si>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</si>
  <si>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</si>
  <si>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</si>
  <si>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</si>
  <si>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</si>
  <si>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</si>
  <si>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</si>
  <si>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</si>
  <si>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</si>
  <si>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</si>
  <si>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</si>
  <si>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</si>
  <si>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</si>
  <si>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</si>
  <si>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</si>
  <si>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</si>
  <si>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</si>
  <si>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</si>
  <si>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</si>
  <si>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</si>
  <si>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</si>
  <si>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</si>
  <si>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</si>
  <si>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</si>
  <si>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</si>
  <si>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</si>
  <si>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</si>
  <si>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</si>
  <si>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</si>
  <si>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</si>
  <si>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</si>
  <si>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</si>
  <si>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</si>
  <si>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</si>
  <si>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</si>
  <si>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</si>
  <si>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</si>
  <si>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</si>
  <si>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</si>
  <si>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</si>
  <si>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</si>
  <si>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</si>
  <si>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</si>
  <si>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</si>
  <si>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</si>
  <si>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</si>
  <si>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</si>
  <si>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</si>
  <si>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</si>
  <si>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</si>
  <si>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</si>
  <si>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</si>
  <si>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</si>
  <si>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</si>
  <si>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</si>
  <si>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</si>
  <si>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</si>
  <si>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</si>
  <si>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</si>
  <si>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</si>
  <si>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</si>
  <si>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</si>
  <si>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</si>
  <si>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</si>
  <si>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</si>
  <si>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</si>
  <si>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</si>
  <si>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</si>
  <si>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</si>
  <si>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</si>
  <si>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</si>
  <si>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</si>
  <si>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</si>
  <si>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</si>
  <si>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</si>
  <si>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</si>
  <si>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</si>
  <si>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</si>
  <si>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</si>
  <si>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</si>
  <si>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</si>
  <si>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</si>
  <si>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</si>
  <si>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</si>
  <si>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</si>
  <si>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</si>
  <si>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</si>
  <si>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</si>
  <si>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</si>
  <si>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</si>
  <si>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</si>
  <si>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</si>
  <si>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</si>
  <si>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</si>
  <si>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</si>
  <si>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</si>
  <si>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</si>
  <si>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</si>
  <si>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</si>
  <si>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</si>
  <si>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</si>
  <si>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</si>
  <si>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</si>
  <si>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</si>
  <si>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</si>
  <si>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</si>
  <si>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</si>
  <si>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</si>
  <si>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</si>
  <si>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</si>
  <si>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</si>
  <si>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</si>
  <si>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</si>
  <si>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</si>
  <si>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</si>
  <si>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</si>
  <si>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</si>
  <si>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</si>
  <si>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</si>
  <si>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</si>
  <si>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</si>
  <si>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</si>
  <si>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</si>
  <si>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</si>
  <si>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</si>
  <si>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</si>
  <si>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</si>
  <si>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</si>
  <si>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</si>
  <si>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</si>
  <si>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</si>
  <si>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</si>
  <si>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</si>
  <si>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</si>
  <si>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</si>
  <si>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</si>
  <si>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</si>
  <si>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</si>
  <si>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</si>
  <si>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</si>
  <si>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</si>
  <si>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</si>
  <si>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</si>
  <si>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</si>
  <si>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</si>
  <si>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</si>
  <si>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</si>
  <si>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</si>
  <si>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</si>
  <si>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</si>
  <si>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</si>
  <si>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</si>
  <si>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</si>
  <si>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</si>
  <si>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</si>
  <si>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</si>
  <si>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</si>
  <si>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</si>
  <si>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</si>
  <si>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</si>
  <si>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</si>
  <si>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</si>
  <si>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</si>
  <si>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</si>
  <si>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</si>
  <si>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</si>
  <si>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</si>
  <si>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</si>
  <si>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</si>
  <si>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</si>
  <si>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</si>
  <si>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</si>
  <si>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</si>
  <si>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</si>
  <si>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</si>
  <si>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</si>
  <si>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</si>
  <si>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</si>
  <si>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</si>
  <si>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</si>
  <si>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</si>
  <si>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</si>
  <si>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</si>
  <si>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</si>
  <si>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</si>
  <si>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</si>
  <si>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</si>
  <si>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</si>
  <si>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</si>
  <si>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</si>
  <si>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</si>
  <si>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</si>
  <si>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</si>
  <si>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</si>
  <si>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</si>
  <si>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</si>
  <si>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</si>
  <si>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</si>
  <si>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</si>
  <si>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</si>
  <si>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</si>
  <si>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</si>
  <si>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</si>
  <si>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</si>
  <si>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</si>
  <si>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</si>
  <si>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</si>
  <si>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</si>
  <si>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</si>
  <si>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</si>
  <si>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</si>
  <si>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</si>
  <si>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</si>
  <si>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</si>
  <si>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</si>
  <si>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</si>
  <si>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</si>
  <si>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</si>
  <si>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</si>
  <si>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</si>
  <si>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</si>
  <si>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</si>
  <si>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</si>
  <si>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</si>
  <si>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</si>
  <si>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</si>
  <si>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</si>
  <si>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</si>
  <si>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</si>
  <si>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</si>
  <si>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</si>
  <si>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</si>
  <si>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</si>
  <si>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</si>
  <si>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</si>
  <si>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</si>
  <si>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</si>
  <si>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</si>
  <si>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</si>
  <si>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</si>
  <si>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</si>
  <si>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</si>
  <si>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</si>
  <si>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</si>
  <si>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</si>
  <si>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</si>
  <si>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</si>
  <si>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</si>
  <si>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</si>
  <si>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</si>
  <si>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</si>
  <si>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</si>
  <si>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</si>
  <si>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</si>
  <si>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</si>
  <si>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</si>
  <si>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</si>
  <si>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</si>
  <si>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</si>
  <si>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</si>
  <si>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</si>
  <si>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</si>
  <si>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</si>
  <si>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</si>
  <si>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</si>
  <si>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</si>
  <si>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</si>
  <si>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</si>
  <si>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</si>
  <si>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</si>
  <si>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</si>
  <si>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</si>
  <si>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</si>
  <si>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</si>
  <si>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</si>
  <si>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</si>
  <si>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</si>
  <si>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</si>
  <si>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</si>
  <si>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</si>
  <si>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</si>
  <si>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</si>
  <si>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</si>
  <si>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</si>
  <si>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</si>
  <si>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</si>
  <si>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</si>
  <si>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</si>
  <si>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</si>
  <si>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</si>
  <si>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</si>
  <si>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</si>
  <si>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</si>
  <si>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</si>
  <si>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</si>
  <si>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</si>
  <si>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</si>
  <si>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</si>
  <si>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</si>
  <si>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</si>
  <si>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</si>
  <si>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</si>
  <si>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</si>
  <si>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</si>
  <si>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</si>
  <si>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</si>
  <si>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</si>
  <si>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</si>
  <si>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</si>
  <si>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</si>
  <si>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</si>
  <si>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</si>
  <si>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</si>
  <si>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</si>
  <si>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</si>
  <si>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</si>
  <si>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</si>
  <si>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</si>
  <si>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</si>
  <si>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</si>
  <si>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</si>
  <si>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</si>
  <si>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</si>
  <si>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</si>
  <si>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</si>
  <si>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</si>
  <si>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</si>
  <si>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</si>
  <si>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</si>
  <si>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</si>
  <si>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</si>
  <si>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</si>
  <si>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</si>
  <si>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</si>
  <si>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</si>
  <si>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</si>
  <si>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</si>
  <si>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</si>
  <si>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</si>
  <si>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</si>
  <si>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</si>
  <si>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</si>
  <si>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</si>
  <si>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</si>
  <si>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</si>
  <si>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</si>
  <si>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</si>
  <si>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</si>
  <si>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</si>
  <si>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</si>
  <si>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</si>
  <si>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</si>
  <si>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</si>
  <si>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</si>
  <si>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</si>
  <si>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</si>
  <si>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</si>
  <si>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</si>
  <si>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</si>
  <si>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</si>
  <si>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</si>
  <si>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</si>
  <si>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</si>
  <si>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</si>
  <si>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</si>
  <si>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</si>
  <si>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</si>
  <si>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</si>
  <si>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</si>
  <si>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</si>
  <si>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</si>
  <si>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</si>
  <si>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</si>
  <si>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</si>
  <si>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</si>
  <si>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</si>
  <si>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</si>
  <si>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</si>
  <si>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</si>
  <si>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</si>
  <si>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</si>
  <si>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</si>
  <si>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</si>
  <si>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</si>
  <si>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</si>
  <si>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</si>
  <si>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</si>
  <si>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</si>
  <si>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</si>
  <si>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</si>
  <si>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</si>
  <si>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</si>
  <si>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</si>
  <si>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</si>
  <si>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</si>
  <si>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</si>
  <si>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</si>
  <si>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</si>
  <si>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</si>
  <si>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</si>
  <si>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</si>
  <si>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</si>
  <si>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</si>
  <si>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</si>
  <si>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</si>
  <si>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</si>
  <si>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</si>
  <si>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</si>
  <si>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</si>
  <si>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</si>
  <si>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</si>
  <si>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</si>
  <si>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</si>
  <si>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</si>
  <si>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</si>
  <si>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</si>
  <si>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</si>
  <si>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</si>
  <si>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</si>
  <si>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</si>
  <si>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</si>
  <si>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</si>
  <si>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</si>
  <si>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</si>
  <si>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</si>
  <si>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</si>
  <si>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</si>
  <si>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</si>
  <si>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</si>
  <si>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</si>
  <si>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</si>
  <si>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</si>
  <si>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</si>
  <si>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</si>
  <si>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</si>
  <si>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</si>
  <si>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</si>
  <si>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</si>
  <si>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</si>
  <si>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</si>
  <si>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</si>
  <si>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</si>
  <si>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</si>
  <si>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</si>
  <si>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</si>
  <si>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</si>
  <si>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</si>
  <si>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</si>
  <si>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</si>
  <si>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</si>
  <si>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</si>
  <si>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</si>
  <si>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</si>
  <si>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</si>
  <si>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</si>
  <si>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</si>
  <si>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</si>
  <si>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</si>
  <si>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</si>
  <si>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</si>
  <si>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</si>
  <si>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</si>
  <si>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</si>
  <si>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</si>
  <si>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</si>
  <si>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</si>
  <si>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</si>
  <si>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</si>
  <si>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</si>
  <si>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</si>
  <si>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</si>
  <si>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</si>
  <si>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</si>
  <si>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</si>
  <si>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</si>
  <si>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</si>
  <si>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</si>
  <si>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</si>
  <si>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</si>
  <si>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</si>
  <si>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</si>
  <si>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</si>
  <si>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</si>
  <si>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</si>
  <si>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</si>
  <si>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</si>
  <si>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</si>
  <si>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</si>
  <si>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</si>
  <si>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</si>
  <si>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</si>
  <si>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</si>
  <si>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</si>
  <si>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</si>
  <si>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</si>
  <si>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</si>
  <si>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</si>
  <si>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</si>
  <si>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</si>
  <si>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</si>
  <si>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</si>
  <si>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</si>
  <si>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</si>
  <si>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</si>
  <si>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</si>
  <si>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</si>
  <si>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</si>
  <si>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</si>
  <si>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</si>
  <si>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</si>
  <si>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</si>
  <si>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</si>
  <si>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</si>
  <si>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</si>
  <si>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</si>
  <si>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</si>
  <si>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</si>
  <si>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</si>
  <si>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</si>
  <si>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</si>
  <si>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</si>
  <si>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</si>
  <si>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</si>
  <si>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</si>
  <si>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</si>
  <si>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</si>
  <si>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</si>
  <si>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</si>
  <si>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</si>
  <si>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</si>
  <si>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</si>
  <si>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</si>
  <si>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</si>
  <si>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</si>
  <si>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</si>
  <si>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</si>
  <si>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</si>
  <si>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</si>
  <si>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</si>
  <si>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</si>
  <si>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</si>
  <si>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</si>
  <si>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</si>
  <si>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</si>
  <si>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</si>
  <si>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</si>
  <si>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</si>
  <si>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</si>
  <si>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</si>
  <si>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</si>
  <si>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</si>
  <si>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</si>
  <si>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</si>
  <si>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</si>
  <si>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</si>
  <si>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</si>
  <si>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</si>
  <si>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</si>
  <si>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</si>
  <si>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</si>
  <si>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</si>
  <si>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</si>
  <si>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</si>
  <si>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</si>
  <si>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</si>
  <si>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</si>
  <si>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</si>
  <si>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</si>
  <si>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</si>
  <si>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</si>
  <si>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</si>
  <si>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</si>
  <si>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</si>
  <si>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</si>
  <si>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</si>
  <si>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</si>
  <si>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</si>
  <si>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</si>
  <si>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</si>
  <si>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</si>
  <si>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</si>
  <si>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</si>
  <si>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</si>
  <si>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</si>
  <si>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</si>
  <si>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</si>
  <si>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</si>
  <si>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</si>
  <si>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</si>
  <si>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</si>
  <si>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</si>
  <si>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</si>
  <si>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</si>
  <si>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</si>
  <si>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</si>
  <si>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</si>
  <si>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</si>
  <si>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</si>
  <si>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</si>
  <si>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</si>
  <si>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</si>
  <si>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</si>
  <si>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</si>
  <si>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</si>
  <si>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</si>
  <si>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</si>
  <si>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</si>
  <si>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</si>
  <si>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</si>
  <si>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</si>
  <si>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</si>
  <si>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</si>
  <si>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</si>
  <si>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</si>
  <si>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</si>
  <si>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</si>
  <si>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</si>
  <si>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</si>
  <si>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</si>
  <si>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</si>
  <si>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</si>
  <si>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</si>
  <si>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</si>
  <si>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</si>
  <si>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</si>
  <si>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</si>
  <si>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</si>
  <si>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</si>
  <si>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</si>
  <si>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</si>
  <si>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</si>
  <si>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</si>
  <si>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</si>
  <si>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</si>
  <si>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</si>
  <si>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</si>
  <si>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</si>
  <si>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</si>
  <si>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</si>
  <si>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</si>
  <si>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</si>
  <si>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</si>
  <si>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</si>
  <si>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</si>
  <si>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</si>
  <si>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</si>
  <si>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</si>
  <si>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</si>
  <si>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</si>
  <si>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</si>
  <si>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</si>
  <si>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</si>
  <si>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</si>
  <si>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</si>
  <si>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</si>
  <si>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</si>
  <si>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</si>
  <si>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</si>
  <si>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</si>
  <si>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</si>
  <si>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</si>
  <si>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</si>
  <si>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</si>
  <si>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</si>
  <si>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</si>
  <si>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</si>
  <si>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</si>
  <si>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</si>
  <si>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</si>
  <si>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</si>
  <si>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</si>
  <si>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</si>
  <si>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</si>
  <si>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</si>
  <si>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</si>
  <si>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</si>
  <si>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</si>
  <si>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</si>
  <si>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</si>
  <si>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</si>
  <si>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</si>
  <si>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</si>
  <si>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</si>
  <si>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</si>
  <si>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</si>
  <si>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</si>
  <si>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</si>
  <si>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</si>
  <si>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</si>
  <si>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</si>
  <si>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</si>
  <si>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</si>
  <si>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</si>
  <si>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</si>
  <si>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</si>
  <si>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</si>
  <si>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</si>
  <si>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</si>
  <si>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</si>
  <si>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</si>
  <si>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</si>
  <si>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</si>
  <si>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</si>
  <si>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</si>
  <si>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</si>
  <si>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</si>
  <si>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</si>
  <si>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</si>
  <si>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</si>
  <si>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</si>
  <si>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</si>
  <si>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</si>
  <si>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</si>
  <si>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</si>
  <si>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</si>
  <si>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</si>
  <si>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</si>
  <si>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</si>
  <si>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</si>
  <si>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</si>
  <si>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</si>
  <si>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</si>
  <si>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</si>
  <si>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</si>
  <si>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</si>
  <si>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</si>
  <si>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</si>
  <si>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</si>
  <si>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</si>
  <si>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</si>
  <si>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</si>
  <si>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</si>
  <si>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</si>
  <si>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</si>
  <si>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</si>
  <si>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</si>
  <si>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</si>
  <si>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</si>
  <si>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</si>
  <si>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</si>
  <si>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</si>
  <si>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</si>
  <si>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</si>
  <si>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</si>
  <si>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</si>
  <si>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</si>
  <si>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</si>
  <si>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</si>
  <si>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</si>
  <si>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</si>
  <si>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</si>
  <si>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</si>
  <si>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</si>
  <si>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</si>
  <si>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</si>
  <si>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</si>
  <si>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</si>
  <si>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</si>
  <si>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</si>
  <si>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</si>
  <si>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</si>
  <si>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</si>
  <si>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</si>
  <si>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</si>
  <si>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</si>
  <si>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</si>
  <si>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</si>
  <si>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</si>
  <si>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</si>
  <si>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</si>
  <si>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</si>
  <si>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</si>
  <si>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</si>
  <si>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</si>
  <si>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</si>
  <si>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</si>
  <si>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</si>
  <si>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</si>
  <si>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</si>
  <si>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</si>
  <si>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</si>
  <si>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</si>
  <si>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</si>
  <si>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</si>
  <si>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</si>
  <si>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</si>
  <si>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</si>
  <si>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</si>
  <si>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</si>
  <si>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</si>
  <si>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</si>
  <si>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</si>
  <si>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</si>
  <si>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</si>
  <si>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</si>
  <si>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</si>
  <si>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</si>
  <si>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</si>
  <si>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</si>
  <si>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</si>
  <si>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</si>
  <si>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</si>
  <si>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</si>
  <si>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</si>
  <si>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</si>
  <si>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</si>
  <si>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</si>
  <si>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</si>
  <si>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</si>
  <si>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</si>
  <si>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</si>
  <si>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</si>
  <si>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</si>
  <si>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</si>
  <si>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</si>
  <si>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</si>
  <si>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</si>
  <si>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</si>
  <si>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</si>
  <si>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</si>
  <si>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</si>
  <si>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</si>
  <si>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</si>
  <si>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</si>
  <si>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</si>
  <si>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</si>
  <si>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</si>
  <si>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</si>
  <si>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</si>
  <si>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</si>
  <si>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</si>
  <si>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</si>
  <si>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</si>
  <si>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</si>
  <si>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</si>
  <si>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</si>
  <si>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</si>
  <si>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</si>
  <si>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</si>
  <si>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</si>
  <si>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</si>
  <si>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</si>
  <si>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</si>
  <si>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</si>
  <si>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</si>
  <si>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</si>
  <si>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</si>
  <si>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</si>
  <si>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</si>
  <si>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</si>
  <si>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</si>
  <si>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</si>
  <si>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</si>
  <si>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</si>
  <si>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</si>
  <si>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</si>
  <si>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</si>
  <si>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</si>
  <si>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</si>
  <si>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</si>
  <si>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</si>
  <si>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</si>
  <si>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</si>
  <si>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</si>
  <si>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</si>
  <si>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</si>
  <si>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</si>
  <si>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</si>
  <si>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</si>
  <si>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</si>
  <si>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</si>
  <si>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</si>
  <si>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</si>
  <si>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</si>
  <si>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</si>
  <si>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</si>
  <si>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</si>
  <si>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</si>
  <si>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</si>
  <si>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</si>
  <si>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</si>
  <si>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</si>
  <si>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</si>
  <si>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</si>
  <si>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</si>
  <si>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</si>
  <si>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</si>
  <si>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</si>
  <si>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</si>
  <si>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</si>
  <si>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</si>
  <si>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</si>
  <si>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</si>
  <si>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</si>
  <si>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</si>
  <si>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</si>
  <si>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</si>
  <si>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</si>
  <si>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</si>
  <si>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</si>
  <si>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</si>
  <si>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</si>
  <si>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</si>
  <si>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</si>
  <si>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</si>
  <si>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</si>
  <si>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</si>
  <si>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</si>
  <si>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</si>
  <si>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</si>
  <si>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</si>
  <si>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</si>
  <si>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</si>
  <si>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</si>
  <si>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</si>
  <si>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</si>
  <si>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</si>
  <si>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</si>
  <si>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</si>
  <si>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</si>
  <si>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</si>
  <si>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</si>
  <si>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</si>
  <si>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</si>
  <si>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</si>
  <si>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</si>
  <si>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</si>
  <si>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</si>
  <si>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</si>
  <si>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</si>
  <si>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</si>
  <si>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</si>
  <si>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</si>
  <si>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</si>
  <si>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</si>
  <si>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</si>
  <si>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</si>
  <si>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</si>
  <si>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</si>
  <si>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</si>
  <si>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</si>
  <si>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</si>
  <si>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</si>
  <si>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</si>
  <si>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</si>
  <si>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</si>
  <si>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</si>
  <si>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</si>
  <si>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</si>
  <si>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</si>
  <si>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</si>
  <si>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</si>
  <si>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</si>
  <si>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</si>
  <si>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</si>
  <si>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</si>
  <si>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</si>
  <si>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</si>
  <si>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</si>
  <si>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</si>
  <si>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</si>
  <si>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</si>
  <si>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</si>
  <si>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</si>
  <si>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</si>
  <si>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</si>
  <si>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</si>
  <si>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</si>
  <si>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</si>
  <si>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</si>
  <si>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</si>
  <si>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</si>
  <si>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</si>
  <si>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</si>
  <si>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</si>
  <si>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</si>
  <si>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</si>
  <si>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</si>
  <si>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</si>
  <si>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</si>
  <si>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</si>
  <si>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</si>
  <si>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</si>
  <si>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</si>
  <si>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</si>
  <si>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</si>
  <si>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</si>
  <si>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</si>
  <si>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</si>
  <si>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</si>
  <si>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</si>
  <si>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</si>
  <si>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</si>
  <si>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</si>
  <si>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</si>
  <si>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</si>
  <si>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</si>
  <si>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</si>
  <si>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</si>
  <si>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</si>
  <si>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</si>
  <si>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</si>
  <si>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</si>
  <si>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</si>
  <si>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</si>
  <si>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</si>
  <si>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</si>
  <si>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</si>
  <si>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</si>
  <si>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</si>
  <si>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</si>
  <si>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</si>
  <si>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</si>
  <si>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</si>
  <si>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</si>
  <si>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</si>
  <si>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</si>
  <si>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</si>
  <si>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</si>
  <si>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</si>
  <si>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</si>
  <si>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</si>
  <si>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</si>
  <si>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</si>
  <si>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</si>
  <si>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</si>
  <si>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</si>
  <si>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</si>
  <si>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</si>
  <si>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</si>
  <si>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</si>
  <si>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</si>
  <si>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</si>
  <si>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</si>
  <si>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</si>
  <si>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</si>
  <si>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</si>
  <si>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</si>
  <si>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</si>
  <si>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</si>
  <si>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</si>
  <si>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</si>
  <si>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</si>
  <si>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</si>
  <si>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</si>
  <si>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</si>
  <si>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</si>
  <si>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</si>
  <si>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</si>
  <si>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</si>
  <si>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</si>
  <si>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</si>
  <si>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</si>
  <si>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</si>
  <si>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</si>
  <si>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</si>
  <si>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</si>
  <si>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</si>
  <si>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</si>
  <si>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</si>
  <si>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</si>
  <si>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</si>
  <si>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</si>
  <si>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</si>
  <si>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</si>
  <si>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</si>
  <si>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</si>
  <si>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</si>
  <si>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</si>
  <si>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</si>
  <si>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</si>
  <si>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</si>
  <si>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</si>
  <si>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</si>
  <si>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</si>
  <si>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</si>
  <si>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</si>
  <si>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</si>
  <si>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</si>
  <si>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</si>
  <si>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</si>
  <si>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</si>
  <si>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</si>
  <si>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</si>
  <si>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</si>
  <si>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</si>
  <si>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</si>
  <si>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</si>
  <si>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</si>
  <si>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</si>
  <si>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</si>
  <si>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</si>
  <si>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</si>
  <si>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</si>
  <si>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</si>
  <si>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</si>
  <si>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</si>
  <si>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</si>
  <si>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</si>
  <si>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</si>
  <si>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</si>
  <si>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</si>
  <si>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</si>
  <si>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</si>
  <si>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</si>
  <si>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</si>
  <si>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</si>
  <si>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</si>
  <si>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</si>
  <si>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</si>
  <si>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</si>
  <si>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</si>
  <si>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</si>
  <si>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</si>
  <si>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</si>
  <si>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</si>
  <si>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</si>
  <si>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</si>
  <si>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</si>
  <si>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</si>
  <si>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</si>
  <si>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</si>
  <si>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</si>
  <si>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</si>
  <si>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</si>
  <si>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</si>
  <si>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</si>
  <si>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</si>
  <si>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</si>
  <si>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</si>
  <si>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</si>
  <si>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</si>
  <si>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</si>
  <si>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</si>
  <si>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</si>
  <si>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</si>
  <si>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</si>
  <si>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</si>
  <si>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</si>
  <si>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</si>
  <si>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</si>
  <si>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</si>
  <si>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</si>
  <si>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</si>
  <si>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</si>
  <si>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</si>
  <si>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</si>
  <si>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</si>
  <si>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</si>
  <si>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</si>
  <si>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</si>
  <si>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</si>
  <si>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</si>
  <si>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</si>
  <si>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</si>
  <si>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</si>
  <si>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</si>
  <si>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</si>
  <si>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</si>
  <si>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</si>
  <si>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</si>
  <si>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</si>
  <si>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</si>
  <si>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</si>
  <si>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</si>
  <si>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</si>
  <si>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</si>
  <si>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</si>
  <si>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</si>
  <si>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</si>
  <si>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</si>
  <si>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</si>
  <si>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</si>
  <si>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</si>
  <si>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</si>
  <si>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</si>
  <si>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</si>
  <si>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</si>
  <si>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</si>
  <si>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</si>
  <si>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</si>
  <si>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</si>
  <si>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</si>
  <si>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</si>
  <si>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</si>
  <si>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</si>
  <si>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</si>
  <si>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</si>
  <si>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</si>
  <si>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</si>
  <si>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</si>
  <si>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</si>
  <si>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</si>
  <si>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</si>
  <si>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</si>
  <si>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</si>
  <si>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</si>
  <si>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</si>
  <si>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</si>
  <si>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</si>
  <si>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</si>
  <si>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</si>
  <si>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</si>
  <si>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</si>
  <si>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</si>
  <si>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</si>
  <si>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</si>
  <si>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</si>
  <si>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</si>
  <si>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</si>
  <si>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</si>
  <si>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</si>
  <si>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</si>
  <si>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</si>
  <si>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</si>
  <si>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</si>
  <si>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</si>
  <si>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</si>
  <si>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</si>
  <si>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</si>
  <si>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</si>
  <si>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</si>
  <si>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</si>
  <si>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</si>
  <si>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</si>
  <si>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</si>
  <si>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</si>
  <si>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</si>
  <si>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</si>
  <si>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</si>
  <si>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</si>
  <si>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</si>
  <si>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</si>
  <si>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</si>
  <si>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</si>
  <si>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</si>
  <si>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</si>
  <si>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</si>
  <si>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</si>
  <si>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</si>
  <si>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</si>
  <si>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</si>
  <si>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</si>
  <si>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</si>
  <si>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</si>
  <si>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</si>
  <si>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</si>
  <si>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</si>
  <si>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</si>
  <si>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</si>
  <si>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</si>
  <si>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</si>
  <si>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</si>
  <si>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</si>
  <si>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</si>
  <si>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</si>
  <si>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</si>
  <si>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</si>
  <si>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</si>
  <si>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</si>
  <si>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</si>
  <si>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</si>
  <si>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</si>
  <si>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</si>
  <si>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</si>
  <si>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</si>
  <si>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</si>
  <si>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</si>
  <si>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</si>
  <si>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</si>
  <si>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</si>
  <si>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</si>
  <si>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</si>
  <si>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</si>
  <si>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</si>
  <si>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</si>
  <si>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</si>
  <si>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</si>
  <si>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</si>
  <si>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</si>
  <si>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</si>
  <si>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</si>
  <si>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</si>
  <si>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</si>
  <si>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</si>
  <si>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</si>
  <si>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</si>
  <si>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</si>
  <si>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</si>
  <si>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</si>
  <si>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</si>
  <si>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</si>
  <si>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</si>
  <si>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</si>
  <si>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</si>
  <si>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</si>
  <si>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</si>
  <si>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</si>
  <si>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</si>
  <si>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</si>
  <si>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</si>
  <si>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</si>
  <si>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</si>
  <si>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</si>
  <si>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</si>
  <si>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</si>
  <si>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</si>
  <si>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</si>
  <si>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</si>
  <si>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</si>
  <si>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</si>
  <si>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</si>
  <si>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</si>
  <si>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</si>
  <si>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</si>
  <si>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</si>
  <si>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</si>
  <si>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</si>
  <si>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</si>
  <si>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</si>
  <si>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</si>
  <si>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</si>
  <si>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</si>
  <si>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</si>
  <si>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</si>
  <si>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</si>
  <si>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</si>
  <si>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</si>
  <si>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</si>
  <si>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</si>
  <si>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</si>
  <si>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</si>
  <si>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</si>
  <si>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</si>
  <si>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</si>
  <si>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</si>
  <si>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</si>
  <si>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</si>
  <si>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</si>
  <si>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</si>
  <si>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</si>
  <si>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</si>
  <si>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</si>
  <si>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</si>
  <si>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</si>
  <si>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</si>
  <si>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</si>
  <si>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</si>
  <si>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</si>
  <si>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</si>
  <si>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</si>
  <si>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</si>
  <si>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</si>
  <si>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</si>
  <si>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</si>
  <si>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</si>
  <si>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</si>
  <si>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</si>
  <si>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</si>
  <si>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</si>
  <si>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</si>
  <si>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</si>
  <si>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</si>
  <si>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</si>
  <si>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</si>
  <si>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</si>
  <si>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</si>
  <si>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</si>
  <si>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</si>
  <si>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</si>
  <si>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</si>
  <si>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</si>
  <si>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</si>
  <si>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</si>
  <si>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</si>
  <si>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</si>
  <si>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</si>
  <si>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</si>
  <si>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</si>
  <si>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</si>
  <si>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</si>
  <si>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</si>
  <si>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</si>
  <si>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</si>
  <si>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</si>
  <si>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</si>
  <si>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</si>
  <si>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</si>
  <si>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</si>
  <si>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</si>
  <si>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</si>
  <si>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</si>
  <si>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</si>
  <si>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</si>
  <si>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</si>
  <si>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</si>
  <si>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</si>
  <si>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</si>
  <si>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</si>
  <si>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</si>
  <si>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</si>
  <si>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</si>
  <si>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</si>
  <si>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</si>
  <si>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</si>
  <si>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</si>
  <si>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</si>
  <si>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</si>
  <si>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</si>
  <si>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</si>
  <si>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</si>
  <si>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</si>
  <si>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</si>
  <si>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</si>
  <si>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</si>
  <si>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</si>
  <si>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</si>
  <si>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</si>
  <si>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</si>
  <si>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</si>
  <si>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</si>
  <si>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</si>
  <si>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</si>
  <si>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</si>
  <si>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</si>
  <si>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</si>
  <si>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</si>
  <si>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</si>
  <si>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</si>
  <si>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</si>
  <si>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</si>
  <si>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</si>
  <si>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</si>
  <si>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</si>
  <si>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</si>
  <si>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</si>
  <si>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</si>
  <si>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</si>
  <si>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</si>
  <si>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</si>
  <si>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</si>
  <si>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</si>
  <si>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</si>
  <si>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</si>
  <si>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</si>
  <si>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</si>
  <si>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</si>
  <si>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</si>
  <si>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</si>
  <si>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</si>
  <si>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</si>
  <si>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</si>
  <si>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</si>
  <si>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</si>
  <si>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</si>
  <si>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</si>
  <si>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</si>
  <si>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</si>
  <si>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</si>
  <si>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</si>
  <si>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</si>
  <si>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</si>
  <si>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</si>
  <si>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</si>
  <si>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</si>
  <si>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</si>
  <si>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</si>
  <si>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</si>
  <si>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</si>
  <si>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</si>
  <si>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</si>
  <si>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</si>
  <si>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</si>
  <si>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</si>
  <si>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</si>
  <si>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</si>
  <si>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</si>
  <si>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</si>
  <si>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</si>
  <si>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</si>
  <si>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</si>
  <si>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</si>
  <si>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</si>
  <si>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</si>
  <si>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</si>
  <si>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</si>
  <si>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</si>
  <si>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</si>
  <si>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</si>
  <si>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</si>
  <si>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</si>
  <si>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</si>
  <si>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</si>
  <si>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</si>
  <si>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</si>
  <si>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</si>
  <si>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</si>
  <si>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</si>
  <si>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</si>
  <si>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</si>
  <si>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</si>
  <si>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</si>
  <si>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</si>
  <si>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</si>
  <si>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</si>
  <si>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</si>
  <si>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</si>
  <si>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</si>
  <si>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</si>
  <si>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</si>
  <si>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</si>
  <si>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</si>
  <si>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</si>
  <si>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</si>
  <si>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</si>
  <si>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</si>
  <si>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</si>
  <si>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</si>
  <si>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</si>
  <si>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</si>
  <si>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</si>
  <si>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</si>
  <si>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</si>
  <si>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</si>
  <si>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</si>
  <si>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</si>
  <si>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</si>
  <si>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</si>
  <si>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</si>
  <si>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</si>
  <si>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</si>
  <si>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</si>
  <si>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</si>
  <si>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</si>
  <si>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</si>
  <si>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</si>
  <si>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</si>
  <si>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</si>
  <si>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</si>
  <si>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</si>
  <si>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</si>
  <si>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</si>
  <si>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</si>
  <si>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</si>
  <si>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</si>
  <si>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</si>
  <si>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</si>
  <si>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</si>
  <si>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</si>
  <si>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</si>
  <si>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</si>
  <si>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</si>
  <si>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</si>
  <si>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</si>
  <si>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</si>
  <si>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</si>
  <si>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</si>
  <si>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</si>
  <si>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</si>
  <si>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</si>
  <si>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</si>
  <si>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</si>
  <si>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</si>
  <si>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</si>
  <si>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</si>
  <si>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</si>
  <si>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</si>
  <si>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</si>
  <si>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</si>
  <si>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</si>
  <si>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</si>
  <si>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</si>
  <si>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</si>
  <si>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</si>
  <si>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</si>
  <si>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</si>
  <si>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</si>
  <si>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</si>
  <si>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</si>
  <si>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</si>
  <si>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</si>
  <si>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</si>
  <si>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</si>
  <si>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</si>
  <si>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</si>
  <si>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</si>
  <si>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</si>
  <si>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</si>
  <si>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</si>
  <si>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</si>
  <si>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</si>
  <si>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</si>
  <si>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</si>
  <si>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</si>
  <si>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</si>
  <si>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</si>
  <si>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</si>
  <si>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</si>
  <si>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</si>
  <si>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</si>
  <si>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</si>
  <si>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</si>
  <si>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</si>
  <si>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</si>
  <si>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</si>
  <si>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</si>
  <si>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</si>
  <si>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</si>
  <si>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</si>
  <si>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</si>
  <si>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</si>
  <si>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</si>
  <si>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</si>
  <si>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</si>
  <si>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</si>
  <si>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</si>
  <si>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</si>
  <si>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</si>
  <si>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</si>
  <si>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</si>
  <si>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</si>
  <si>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</si>
  <si>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</si>
  <si>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</si>
  <si>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</si>
  <si>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</si>
  <si>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</si>
  <si>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</si>
  <si>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</si>
  <si>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</si>
  <si>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</si>
  <si>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</si>
  <si>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</si>
  <si>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</si>
  <si>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</si>
  <si>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</si>
  <si>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</si>
  <si>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</si>
  <si>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</si>
  <si>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</si>
  <si>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</si>
  <si>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</si>
  <si>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</si>
  <si>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</si>
  <si>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</si>
  <si>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</si>
  <si>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</si>
  <si>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</si>
  <si>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</si>
  <si>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</si>
  <si>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</si>
  <si>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</si>
  <si>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</si>
  <si>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</si>
  <si>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</si>
  <si>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</si>
  <si>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</si>
  <si>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</si>
  <si>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</si>
  <si>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</si>
  <si>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</si>
  <si>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</si>
  <si>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</si>
  <si>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</si>
  <si>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</si>
  <si>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</si>
  <si>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</si>
  <si>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</si>
  <si>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</si>
  <si>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</si>
  <si>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</si>
  <si>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</si>
  <si>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</si>
  <si>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</si>
  <si>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</si>
  <si>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</si>
  <si>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</si>
  <si>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</si>
  <si>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</si>
  <si>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</si>
  <si>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</si>
  <si>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</si>
  <si>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</si>
  <si>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</si>
  <si>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</si>
  <si>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</si>
  <si>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</si>
  <si>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</si>
  <si>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</si>
  <si>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</si>
  <si>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</si>
  <si>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</si>
  <si>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</si>
  <si>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</si>
  <si>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</si>
  <si>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</si>
  <si>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</si>
  <si>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</si>
  <si>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</si>
  <si>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</si>
  <si>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</si>
  <si>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</si>
  <si>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</si>
  <si>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</si>
  <si>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</si>
  <si>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</si>
  <si>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</si>
  <si>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</si>
  <si>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</si>
  <si>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</si>
  <si>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</si>
  <si>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</si>
  <si>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</si>
  <si>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</si>
  <si>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</si>
  <si>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</si>
  <si>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</si>
  <si>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</si>
  <si>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</si>
  <si>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</si>
  <si>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</si>
  <si>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</si>
  <si>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</si>
  <si>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</si>
  <si>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</si>
  <si>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</si>
  <si>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</si>
  <si>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</si>
  <si>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</si>
  <si>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</si>
  <si>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</si>
  <si>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</si>
  <si>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</si>
  <si>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</si>
  <si>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</si>
  <si>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</si>
  <si>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</si>
  <si>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</si>
  <si>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</si>
  <si>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</si>
  <si>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</si>
  <si>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</si>
  <si>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</si>
  <si>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</si>
  <si>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</si>
  <si>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</si>
  <si>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</si>
  <si>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</si>
  <si>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</si>
  <si>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</si>
  <si>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</si>
  <si>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</si>
  <si>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</si>
  <si>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</si>
  <si>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</si>
  <si>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</si>
  <si>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</si>
  <si>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</si>
  <si>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</si>
  <si>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</si>
  <si>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</si>
  <si>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</si>
  <si>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</si>
  <si>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</si>
  <si>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</si>
  <si>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</si>
  <si>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</si>
  <si>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</si>
  <si>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</si>
  <si>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</si>
  <si>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</si>
  <si>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</si>
  <si>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</si>
  <si>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</si>
  <si>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</si>
  <si>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</si>
  <si>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</si>
  <si>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</si>
  <si>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</si>
  <si>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</si>
  <si>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</si>
  <si>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</si>
  <si>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</si>
  <si>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</si>
  <si>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</si>
  <si>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</si>
  <si>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</si>
  <si>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</si>
  <si>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</si>
  <si>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</si>
  <si>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</si>
  <si>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</si>
  <si>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</si>
  <si>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</si>
  <si>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</si>
  <si>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</si>
  <si>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</si>
  <si>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</si>
  <si>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</si>
  <si>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</si>
  <si>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</si>
  <si>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</si>
  <si>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</si>
  <si>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</si>
  <si>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</si>
  <si>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</si>
  <si>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</si>
  <si>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</si>
  <si>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</si>
  <si>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</si>
  <si>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</si>
  <si>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</si>
  <si>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</si>
  <si>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</si>
  <si>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</si>
  <si>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</si>
  <si>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</si>
  <si>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</si>
  <si>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</si>
  <si>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</si>
  <si>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</si>
  <si>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</si>
  <si>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</si>
  <si>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</si>
  <si>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</si>
  <si>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</si>
  <si>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</si>
  <si>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</si>
  <si>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</si>
  <si>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</si>
  <si>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</si>
  <si>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</si>
  <si>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</si>
  <si>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</si>
  <si>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</si>
  <si>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</si>
  <si>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</si>
  <si>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</si>
  <si>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</si>
  <si>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</si>
  <si>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</si>
  <si>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</si>
  <si>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</si>
  <si>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</si>
  <si>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</si>
  <si>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</si>
  <si>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</si>
  <si>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</si>
  <si>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</si>
  <si>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</si>
  <si>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</si>
  <si>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</si>
  <si>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</si>
  <si>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</si>
  <si>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</si>
  <si>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</si>
  <si>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</si>
  <si>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</si>
  <si>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</si>
  <si>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</si>
  <si>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</si>
  <si>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</si>
  <si>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</si>
  <si>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</si>
  <si>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</si>
  <si>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</si>
  <si>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</si>
  <si>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</si>
  <si>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</si>
  <si>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</si>
  <si>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</si>
  <si>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</si>
  <si>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</si>
  <si>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</si>
  <si>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</si>
  <si>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</si>
  <si>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</si>
  <si>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</si>
  <si>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</si>
  <si>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</si>
  <si>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</si>
  <si>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</si>
  <si>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</si>
  <si>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</si>
  <si>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</si>
  <si>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</si>
  <si>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</si>
  <si>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</si>
  <si>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</si>
  <si>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</si>
  <si>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</si>
  <si>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</si>
  <si>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</si>
  <si>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</si>
  <si>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</si>
  <si>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</si>
  <si>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</si>
  <si>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</si>
  <si>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</si>
  <si>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</si>
  <si>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</si>
  <si>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</si>
  <si>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</si>
  <si>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</si>
  <si>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</si>
  <si>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</si>
  <si>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</si>
  <si>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</si>
  <si>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</si>
  <si>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</si>
  <si>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</si>
  <si>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</si>
  <si>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</si>
  <si>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</si>
  <si>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</si>
  <si>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</si>
  <si>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</si>
  <si>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</si>
  <si>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</si>
  <si>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</si>
  <si>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</si>
  <si>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</si>
  <si>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</si>
  <si>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</si>
  <si>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</si>
  <si>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</si>
  <si>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</si>
  <si>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</si>
  <si>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</si>
  <si>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</si>
  <si>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</si>
  <si>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</si>
  <si>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</si>
  <si>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</si>
  <si>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</si>
  <si>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</si>
  <si>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</si>
  <si>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</si>
  <si>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</si>
  <si>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</si>
  <si>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</si>
  <si>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</si>
  <si>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</si>
  <si>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</si>
  <si>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</si>
  <si>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</si>
  <si>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</si>
  <si>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</si>
  <si>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</si>
  <si>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</si>
  <si>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</si>
  <si>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</si>
  <si>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</si>
  <si>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</si>
  <si>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</si>
  <si>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</si>
  <si>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</si>
  <si>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</si>
  <si>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</si>
  <si>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</si>
  <si>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</si>
  <si>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</si>
  <si>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</si>
  <si>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</si>
  <si>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</si>
  <si>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</si>
  <si>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</si>
  <si>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</si>
  <si>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</si>
  <si>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</si>
  <si>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</si>
  <si>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</si>
  <si>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</si>
  <si>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</si>
  <si>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</si>
  <si>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</si>
  <si>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</si>
  <si>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</si>
  <si>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</si>
  <si>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</si>
  <si>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</si>
  <si>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</si>
  <si>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</si>
  <si>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</si>
  <si>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</si>
  <si>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</si>
  <si>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</si>
  <si>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</si>
  <si>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</si>
  <si>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</si>
  <si>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</si>
  <si>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</si>
  <si>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</si>
  <si>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</si>
  <si>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</si>
  <si>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</si>
  <si>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</si>
  <si>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</si>
  <si>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</si>
  <si>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</si>
  <si>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</si>
  <si>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</si>
  <si>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</si>
  <si>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</si>
  <si>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</si>
  <si>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</si>
  <si>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</si>
  <si>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</si>
  <si>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</si>
  <si>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</si>
  <si>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</si>
  <si>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</si>
  <si>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</si>
  <si>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</si>
  <si>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</si>
  <si>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</si>
  <si>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</si>
  <si>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</si>
  <si>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</si>
  <si>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</si>
  <si>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</si>
  <si>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</si>
  <si>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</si>
  <si>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</si>
  <si>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</si>
  <si>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</si>
  <si>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</si>
  <si>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</si>
  <si>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</si>
  <si>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</si>
  <si>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</si>
  <si>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</si>
  <si>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</si>
  <si>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</si>
  <si>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</si>
  <si>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</si>
  <si>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</si>
  <si>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</si>
  <si>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</si>
  <si>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</si>
  <si>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</si>
  <si>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</si>
  <si>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</si>
  <si>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</si>
  <si>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</si>
  <si>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</si>
  <si>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</si>
  <si>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</si>
  <si>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</si>
  <si>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</si>
  <si>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</si>
  <si>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</si>
  <si>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</si>
  <si>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</si>
  <si>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</si>
  <si>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</si>
  <si>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</si>
  <si>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</si>
  <si>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</si>
  <si>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</si>
  <si>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</si>
  <si>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</si>
  <si>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</si>
  <si>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</si>
  <si>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</si>
  <si>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</si>
  <si>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</si>
  <si>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</si>
  <si>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</si>
  <si>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</si>
  <si>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</si>
  <si>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</si>
  <si>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</si>
  <si>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</si>
  <si>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</si>
  <si>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</si>
  <si>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</si>
  <si>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</si>
  <si>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</si>
  <si>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</si>
  <si>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</si>
  <si>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</si>
  <si>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</si>
  <si>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</si>
  <si>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</si>
  <si>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</si>
  <si>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</si>
  <si>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</si>
  <si>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</si>
  <si>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</si>
  <si>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</si>
  <si>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</si>
  <si>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</si>
  <si>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</si>
  <si>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</si>
  <si>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</si>
  <si>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</si>
  <si>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</si>
  <si>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</si>
  <si>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</si>
  <si>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</si>
  <si>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</si>
  <si>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</si>
  <si>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</si>
  <si>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</si>
  <si>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</si>
  <si>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</si>
  <si>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</si>
  <si>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</si>
  <si>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</si>
  <si>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</si>
  <si>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</si>
  <si>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</si>
  <si>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</si>
  <si>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</si>
  <si>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</si>
  <si>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</si>
  <si>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</si>
  <si>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</si>
  <si>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</si>
  <si>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</si>
  <si>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</si>
  <si>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</si>
  <si>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</si>
  <si>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</si>
  <si>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</si>
  <si>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</si>
  <si>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</si>
  <si>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</si>
  <si>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</si>
  <si>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</si>
  <si>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</si>
  <si>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</si>
  <si>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</si>
  <si>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</si>
  <si>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</si>
  <si>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</si>
  <si>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</si>
  <si>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</si>
  <si>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</si>
  <si>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</si>
  <si>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</si>
  <si>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</si>
  <si>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</si>
  <si>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</si>
  <si>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</si>
  <si>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</si>
  <si>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</si>
  <si>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</si>
  <si>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</si>
  <si>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</si>
  <si>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</si>
  <si>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</si>
  <si>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</si>
  <si>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</si>
  <si>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</si>
  <si>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</si>
  <si>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</si>
  <si>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</si>
  <si>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</si>
  <si>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</si>
  <si>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</si>
  <si>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</si>
  <si>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</si>
  <si>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</si>
  <si>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</si>
  <si>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</si>
  <si>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</si>
  <si>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</si>
  <si>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</si>
  <si>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</si>
  <si>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</si>
  <si>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</si>
  <si>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</si>
  <si>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</si>
  <si>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</si>
  <si>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</si>
  <si>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</si>
  <si>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</si>
  <si>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</si>
  <si>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</si>
  <si>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</si>
  <si>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</si>
  <si>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</si>
  <si>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</si>
  <si>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</si>
  <si>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</si>
  <si>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</si>
  <si>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</si>
  <si>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</si>
  <si>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</si>
  <si>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</si>
  <si>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</si>
  <si>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</si>
  <si>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</si>
  <si>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</si>
  <si>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</si>
  <si>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</si>
  <si>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</si>
  <si>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</si>
  <si>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</si>
  <si>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</si>
  <si>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</si>
  <si>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</si>
  <si>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</si>
  <si>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</si>
  <si>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</si>
  <si>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</si>
  <si>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</si>
  <si>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</si>
  <si>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</si>
  <si>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</si>
  <si>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</si>
  <si>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</si>
  <si>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</si>
  <si>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</si>
  <si>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</si>
  <si>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</si>
  <si>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</si>
  <si>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</si>
  <si>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</si>
  <si>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</si>
  <si>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</si>
  <si>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</si>
  <si>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</si>
  <si>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</si>
  <si>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</si>
  <si>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</si>
  <si>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</si>
  <si>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</si>
  <si>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</si>
  <si>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</si>
  <si>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</si>
  <si>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</si>
  <si>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</si>
  <si>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</si>
  <si>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</si>
  <si>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</si>
  <si>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</si>
  <si>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</si>
  <si>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</si>
  <si>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</si>
  <si>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</si>
  <si>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</si>
  <si>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</si>
  <si>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</si>
  <si>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</si>
  <si>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</si>
  <si>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</si>
  <si>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</si>
  <si>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</si>
  <si>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</si>
  <si>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</si>
  <si>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</si>
  <si>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</si>
  <si>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</si>
  <si>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</si>
  <si>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</si>
  <si>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</si>
  <si>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</si>
  <si>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</si>
  <si>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</si>
  <si>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</si>
  <si>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</si>
  <si>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</si>
  <si>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</si>
  <si>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</si>
  <si>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</si>
  <si>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</si>
  <si>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</si>
  <si>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</si>
  <si>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</si>
  <si>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</si>
  <si>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</si>
  <si>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</si>
  <si>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</si>
  <si>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</si>
  <si>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</si>
  <si>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</si>
  <si>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</si>
  <si>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</si>
  <si>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</si>
  <si>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</si>
  <si>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</si>
  <si>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</si>
  <si>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</si>
  <si>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</si>
  <si>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</si>
  <si>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</si>
  <si>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</si>
  <si>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</si>
  <si>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</si>
  <si>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</si>
  <si>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</si>
  <si>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</si>
  <si>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</si>
  <si>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</si>
  <si>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</si>
  <si>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</si>
  <si>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</si>
  <si>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</si>
  <si>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</si>
  <si>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</si>
  <si>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</si>
  <si>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</si>
  <si>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</si>
  <si>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</si>
  <si>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</si>
  <si>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</si>
  <si>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</si>
  <si>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</si>
  <si>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</si>
  <si>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</si>
  <si>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</si>
  <si>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</si>
  <si>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</si>
  <si>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</si>
  <si>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</si>
  <si>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</si>
  <si>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</si>
  <si>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</si>
  <si>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</si>
  <si>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</si>
  <si>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</si>
  <si>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</si>
  <si>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</si>
  <si>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</si>
  <si>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</si>
  <si>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</si>
  <si>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</si>
  <si>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</si>
  <si>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</si>
  <si>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</si>
  <si>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</si>
  <si>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</si>
  <si>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</si>
  <si>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</si>
  <si>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</si>
  <si>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</si>
  <si>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</si>
  <si>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</si>
  <si>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</si>
  <si>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</si>
  <si>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</si>
  <si>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</si>
  <si>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</si>
  <si>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</si>
  <si>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</si>
  <si>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</si>
  <si>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</si>
  <si>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</si>
  <si>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</si>
  <si>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</si>
  <si>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</si>
  <si>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</si>
  <si>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</si>
  <si>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</si>
  <si>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</si>
  <si>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</si>
  <si>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</si>
  <si>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</si>
  <si>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</si>
  <si>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</si>
  <si>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</si>
  <si>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</si>
  <si>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</si>
  <si>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</si>
  <si>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</si>
  <si>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</si>
  <si>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</si>
  <si>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</si>
  <si>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</si>
  <si>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</si>
  <si>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</si>
  <si>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</si>
  <si>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</si>
  <si>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</si>
  <si>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</si>
  <si>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</si>
  <si>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</si>
  <si>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</si>
  <si>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</si>
  <si>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</si>
  <si>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</si>
  <si>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</si>
  <si>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</si>
  <si>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</si>
  <si>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</si>
  <si>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</si>
  <si>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</si>
  <si>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</si>
  <si>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</si>
  <si>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</si>
  <si>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</si>
  <si>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</si>
  <si>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</si>
  <si>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</si>
  <si>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</si>
  <si>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</si>
  <si>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</si>
  <si>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</si>
  <si>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</si>
  <si>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</si>
  <si>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</si>
  <si>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</si>
  <si>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</si>
  <si>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</si>
  <si>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</si>
  <si>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</si>
  <si>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</si>
  <si>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</si>
  <si>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</si>
  <si>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</si>
  <si>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</si>
  <si>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</si>
  <si>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</si>
  <si>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</si>
  <si>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</si>
  <si>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</si>
  <si>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</si>
  <si>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</si>
  <si>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</si>
  <si>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</si>
  <si>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</si>
  <si>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</si>
  <si>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</si>
  <si>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</si>
  <si>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</si>
  <si>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</si>
  <si>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</si>
  <si>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</si>
  <si>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</si>
  <si>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</si>
  <si>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</si>
  <si>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</si>
  <si>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</si>
  <si>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</si>
  <si>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</si>
  <si>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</si>
  <si>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</si>
  <si>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</si>
  <si>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</si>
  <si>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</si>
  <si>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</si>
  <si>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</si>
  <si>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</si>
  <si>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</si>
  <si>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</si>
  <si>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</si>
  <si>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</si>
  <si>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</si>
  <si>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</si>
  <si>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</si>
  <si>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</si>
  <si>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</si>
  <si>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</si>
  <si>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</si>
  <si>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</si>
  <si>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</si>
  <si>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</si>
  <si>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</si>
  <si>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</si>
  <si>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</si>
  <si>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</si>
  <si>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</si>
  <si>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</si>
  <si>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</si>
  <si>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</si>
  <si>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</si>
  <si>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</si>
  <si>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</si>
  <si>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</si>
  <si>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</si>
  <si>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</si>
  <si>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</si>
  <si>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</si>
  <si>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</si>
  <si>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</si>
  <si>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</si>
  <si>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</si>
  <si>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</si>
  <si>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</si>
  <si>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</si>
  <si>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</si>
  <si>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</si>
  <si>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</si>
  <si>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</si>
  <si>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</si>
  <si>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</si>
  <si>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</si>
  <si>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</si>
  <si>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</si>
  <si>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</si>
  <si>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</si>
  <si>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</si>
  <si>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</si>
  <si>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</si>
  <si>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</si>
  <si>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</si>
  <si>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</si>
  <si>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</si>
  <si>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</si>
  <si>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</si>
  <si>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</si>
  <si>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</si>
  <si>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</si>
  <si>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</si>
  <si>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</si>
  <si>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</si>
  <si>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</si>
  <si>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</si>
  <si>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</si>
  <si>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</si>
  <si>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</si>
  <si>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</si>
  <si>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</si>
  <si>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</si>
  <si>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</si>
  <si>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</si>
  <si>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</si>
  <si>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</si>
  <si>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</si>
  <si>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</si>
  <si>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</si>
  <si>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</si>
  <si>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</si>
  <si>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</si>
  <si>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</si>
  <si>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</si>
  <si>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</si>
  <si>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</si>
  <si>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</si>
  <si>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</si>
  <si>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</si>
  <si>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</si>
  <si>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</si>
  <si>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</si>
  <si>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</si>
  <si>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</si>
  <si>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</si>
  <si>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</si>
  <si>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</si>
  <si>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</si>
  <si>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</si>
  <si>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</si>
  <si>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</si>
  <si>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</si>
  <si>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</si>
  <si>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</si>
  <si>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</si>
  <si>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</si>
  <si>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</si>
  <si>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</si>
  <si>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</si>
  <si>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</si>
  <si>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</si>
  <si>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</si>
  <si>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</si>
  <si>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</si>
  <si>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</si>
  <si>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</si>
  <si>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</si>
  <si>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</si>
  <si>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</si>
  <si>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</si>
  <si>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</si>
  <si>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</si>
  <si>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</si>
  <si>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</si>
  <si>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</si>
  <si>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</si>
  <si>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</si>
  <si>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</si>
  <si>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</si>
  <si>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</si>
  <si>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</si>
  <si>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</si>
  <si>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</si>
  <si>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</si>
  <si>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</si>
  <si>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</si>
  <si>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</si>
  <si>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</si>
  <si>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</si>
  <si>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</si>
  <si>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</si>
  <si>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</si>
  <si>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</si>
  <si>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</si>
  <si>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</si>
  <si>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</si>
  <si>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</si>
  <si>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</si>
  <si>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</si>
  <si>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</si>
  <si>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</si>
  <si>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</si>
  <si>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</si>
  <si>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</si>
  <si>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</si>
  <si>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</si>
  <si>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</si>
  <si>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</si>
  <si>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</si>
  <si>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</si>
  <si>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</si>
  <si>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</si>
  <si>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</si>
  <si>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</si>
  <si>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</si>
  <si>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</si>
  <si>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</si>
  <si>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</si>
  <si>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</si>
  <si>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</si>
  <si>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</si>
  <si>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</si>
  <si>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</si>
  <si>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</si>
  <si>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</si>
  <si>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</si>
  <si>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</si>
  <si>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</si>
  <si>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</si>
  <si>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</si>
  <si>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</si>
  <si>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</si>
  <si>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</si>
  <si>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</si>
  <si>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</si>
  <si>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</si>
  <si>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</si>
  <si>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</si>
  <si>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</si>
  <si>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</si>
  <si>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</si>
  <si>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</si>
  <si>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</si>
  <si>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</si>
  <si>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</si>
  <si>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</si>
  <si>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</si>
  <si>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</si>
  <si>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</si>
  <si>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</si>
  <si>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</si>
  <si>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</si>
  <si>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</si>
  <si>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</si>
  <si>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</si>
  <si>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</si>
  <si>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</si>
  <si>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</si>
  <si>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</si>
  <si>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</si>
  <si>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</si>
  <si>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</si>
  <si>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</si>
  <si>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</si>
  <si>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</si>
  <si>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</si>
  <si>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</si>
  <si>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</si>
  <si>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</si>
  <si>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</si>
  <si>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</si>
  <si>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</si>
  <si>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</si>
  <si>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</si>
  <si>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</si>
  <si>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</si>
  <si>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</si>
  <si>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</si>
  <si>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</si>
  <si>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</si>
  <si>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</si>
  <si>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</si>
  <si>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</si>
  <si>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</si>
  <si>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</si>
  <si>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</si>
  <si>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</si>
  <si>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</si>
  <si>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</si>
  <si>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</si>
  <si>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</si>
  <si>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</si>
  <si>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</si>
  <si>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</si>
  <si>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</si>
  <si>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</si>
  <si>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</si>
  <si>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</si>
  <si>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</si>
  <si>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</si>
  <si>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</si>
  <si>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</si>
  <si>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</si>
  <si>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</si>
  <si>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</si>
  <si>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</si>
  <si>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</si>
  <si>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</si>
  <si>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</si>
  <si>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</si>
  <si>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</si>
  <si>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</si>
  <si>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</si>
  <si>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</si>
  <si>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</si>
  <si>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</si>
  <si>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</si>
  <si>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</si>
  <si>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</si>
  <si>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</si>
  <si>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</si>
  <si>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</si>
  <si>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</si>
  <si>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</si>
  <si>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</si>
  <si>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</si>
  <si>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</si>
  <si>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</si>
  <si>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</si>
  <si>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</si>
  <si>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</si>
  <si>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</si>
  <si>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</si>
  <si>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</si>
  <si>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</si>
  <si>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</si>
  <si>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</si>
  <si>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</si>
  <si>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</si>
  <si>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</si>
  <si>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</si>
  <si>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</si>
  <si>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</si>
  <si>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</si>
  <si>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</si>
  <si>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</si>
  <si>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</si>
  <si>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</si>
  <si>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</si>
  <si>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</si>
  <si>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</si>
  <si>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</si>
  <si>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</si>
  <si>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</si>
  <si>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</si>
  <si>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</si>
  <si>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</si>
  <si>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</si>
  <si>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</si>
  <si>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</si>
  <si>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</si>
  <si>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</si>
  <si>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</si>
  <si>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</si>
  <si>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</si>
  <si>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</si>
  <si>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</si>
  <si>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</si>
  <si>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</si>
  <si>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</si>
  <si>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</si>
  <si>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</si>
  <si>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</si>
  <si>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</si>
  <si>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</si>
  <si>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</si>
  <si>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</si>
  <si>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</si>
  <si>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</si>
  <si>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</si>
  <si>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</si>
  <si>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</si>
  <si>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</si>
  <si>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</si>
  <si>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</si>
  <si>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</si>
  <si>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</si>
  <si>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</si>
  <si>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</si>
  <si>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</si>
  <si>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</si>
  <si>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</si>
  <si>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</si>
  <si>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</si>
  <si>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</si>
  <si>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</si>
  <si>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</si>
  <si>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</si>
  <si>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</si>
  <si>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</si>
  <si>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</si>
  <si>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</si>
  <si>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</si>
  <si>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</si>
  <si>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</si>
  <si>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</si>
  <si>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</si>
  <si>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</si>
  <si>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</si>
  <si>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</si>
  <si>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</si>
  <si>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</si>
  <si>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</si>
  <si>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</si>
  <si>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</si>
  <si>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</si>
  <si>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</si>
  <si>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</si>
  <si>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</si>
  <si>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</si>
  <si>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</si>
  <si>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</si>
  <si>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</si>
  <si>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</si>
  <si>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</si>
  <si>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</si>
  <si>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</si>
  <si>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</si>
  <si>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</si>
  <si>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</si>
  <si>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</si>
  <si>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</si>
  <si>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</si>
  <si>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</si>
  <si>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</si>
  <si>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</si>
  <si>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</si>
  <si>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</si>
  <si>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</si>
  <si>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</si>
  <si>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</si>
  <si>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</si>
  <si>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</si>
  <si>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</si>
  <si>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</si>
  <si>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</si>
  <si>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</si>
  <si>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</si>
  <si>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</si>
  <si>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</si>
  <si>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</si>
  <si>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</si>
  <si>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</si>
  <si>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</si>
  <si>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</si>
  <si>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</si>
  <si>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</si>
  <si>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</si>
  <si>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</si>
  <si>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</si>
  <si>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</si>
  <si>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</si>
  <si>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</si>
  <si>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</si>
  <si>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</si>
  <si>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</si>
  <si>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</si>
  <si>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</si>
  <si>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</si>
  <si>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</si>
  <si>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</si>
  <si>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</si>
  <si>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</si>
  <si>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</si>
  <si>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</si>
  <si>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</si>
  <si>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</si>
  <si>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</si>
  <si>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</si>
  <si>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</si>
  <si>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</si>
  <si>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</si>
  <si>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</si>
  <si>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</si>
  <si>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</si>
  <si>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</si>
  <si>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</si>
  <si>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</si>
  <si>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</si>
  <si>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</si>
  <si>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</si>
  <si>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</si>
  <si>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</si>
  <si>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</si>
  <si>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</si>
  <si>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</si>
  <si>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</si>
  <si>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</si>
  <si>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</si>
  <si>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</si>
  <si>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</si>
  <si>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</si>
  <si>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</si>
  <si>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</si>
  <si>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</si>
  <si>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</si>
  <si>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</si>
  <si>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</si>
  <si>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</si>
  <si>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</si>
  <si>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</si>
  <si>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</si>
  <si>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</si>
  <si>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</si>
  <si>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</si>
  <si>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</si>
  <si>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</si>
  <si>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</si>
  <si>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</si>
  <si>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</si>
  <si>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</si>
  <si>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</si>
  <si>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</si>
  <si>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</si>
  <si>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</si>
  <si>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</si>
  <si>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</si>
  <si>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</si>
  <si>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</si>
  <si>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</si>
  <si>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</si>
  <si>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</si>
  <si>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</si>
  <si>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</si>
  <si>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</si>
  <si>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</si>
  <si>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</si>
  <si>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</si>
  <si>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</si>
  <si>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</si>
  <si>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</si>
  <si>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</si>
  <si>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</si>
  <si>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</si>
  <si>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</si>
  <si>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</si>
  <si>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</si>
  <si>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</si>
  <si>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</si>
  <si>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</si>
  <si>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</si>
  <si>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</si>
  <si>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</si>
  <si>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</si>
  <si>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</si>
  <si>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</si>
  <si>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</si>
  <si>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</si>
  <si>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</si>
  <si>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</si>
  <si>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</si>
  <si>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</si>
  <si>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</si>
  <si>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</si>
  <si>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</si>
  <si>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</si>
  <si>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</si>
  <si>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</si>
  <si>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</si>
  <si>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</si>
  <si>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</si>
  <si>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</si>
  <si>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</si>
  <si>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</si>
  <si>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</si>
  <si>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</si>
  <si>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</si>
  <si>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</si>
  <si>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</si>
  <si>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</si>
  <si>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</si>
  <si>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</si>
  <si>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</si>
  <si>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</si>
  <si>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</si>
  <si>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</si>
  <si>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</si>
  <si>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</si>
  <si>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</si>
  <si>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</si>
  <si>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</si>
  <si>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</si>
  <si>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</si>
  <si>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</si>
  <si>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</si>
  <si>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</si>
  <si>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</si>
  <si>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</si>
  <si>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</si>
  <si>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</si>
  <si>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</si>
  <si>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</si>
  <si>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</si>
  <si>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</si>
  <si>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</si>
  <si>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</si>
  <si>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</si>
  <si>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</si>
  <si>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</si>
  <si>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</si>
  <si>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</si>
  <si>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</si>
  <si>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</si>
  <si>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</si>
  <si>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</si>
  <si>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</si>
  <si>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</si>
  <si>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</si>
  <si>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</si>
  <si>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</si>
  <si>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</si>
  <si>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</si>
  <si>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</si>
  <si>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</si>
  <si>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</si>
  <si>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</si>
  <si>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</si>
  <si>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</si>
  <si>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</si>
  <si>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</si>
  <si>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</si>
  <si>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</si>
  <si>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</si>
  <si>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</si>
  <si>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</si>
  <si>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</si>
  <si>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</si>
  <si>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</si>
  <si>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</si>
  <si>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</si>
  <si>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</si>
  <si>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</si>
  <si>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</si>
  <si>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</si>
  <si>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</si>
  <si>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</si>
  <si>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</si>
  <si>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</si>
  <si>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</si>
  <si>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</si>
  <si>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</si>
  <si>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</si>
  <si>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</si>
  <si>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</si>
  <si>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</si>
  <si>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</si>
  <si>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</si>
  <si>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</si>
  <si>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</si>
  <si>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</si>
  <si>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</si>
  <si>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</si>
  <si>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</si>
  <si>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</si>
  <si>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</si>
  <si>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</si>
  <si>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</si>
  <si>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</si>
  <si>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</si>
  <si>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</si>
  <si>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</si>
  <si>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</si>
  <si>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</si>
  <si>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</si>
  <si>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</si>
  <si>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</si>
  <si>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</si>
  <si>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</si>
  <si>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</si>
  <si>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</si>
  <si>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</si>
  <si>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</si>
  <si>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</si>
  <si>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</si>
  <si>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</si>
  <si>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</si>
  <si>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</si>
  <si>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</si>
  <si>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</si>
  <si>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</si>
  <si>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</si>
  <si>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</si>
  <si>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</si>
  <si>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</si>
  <si>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</si>
  <si>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</si>
  <si>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</si>
  <si>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</si>
  <si>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</si>
  <si>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</si>
  <si>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</si>
  <si>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</si>
  <si>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</si>
  <si>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</si>
  <si>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</si>
  <si>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</si>
  <si>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</si>
  <si>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</si>
  <si>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</si>
  <si>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</si>
  <si>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</si>
  <si>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</si>
  <si>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</si>
  <si>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</si>
  <si>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</si>
  <si>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</si>
  <si>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</si>
  <si>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</si>
  <si>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</si>
  <si>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</si>
  <si>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</si>
  <si>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</si>
  <si>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</si>
  <si>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</si>
  <si>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</si>
  <si>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</si>
  <si>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</si>
  <si>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</si>
  <si>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</si>
  <si>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</si>
  <si>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</si>
  <si>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</si>
  <si>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</si>
  <si>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</si>
  <si>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</si>
  <si>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</si>
  <si>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</si>
  <si>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</si>
  <si>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</si>
  <si>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</si>
  <si>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</si>
  <si>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</si>
  <si>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</si>
  <si>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</si>
  <si>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</si>
  <si>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</si>
  <si>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</si>
  <si>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</si>
  <si>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</si>
  <si>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</si>
  <si>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</si>
  <si>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</si>
  <si>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</si>
  <si>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</si>
  <si>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</si>
  <si>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</si>
  <si>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</si>
  <si>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</si>
  <si>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</si>
  <si>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</si>
  <si>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</si>
  <si>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</si>
  <si>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</si>
  <si>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</si>
  <si>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</si>
  <si>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</si>
  <si>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</si>
  <si>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</si>
  <si>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</si>
  <si>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</si>
  <si>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</si>
  <si>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</si>
  <si>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</si>
  <si>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</si>
  <si>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</si>
  <si>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</si>
  <si>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</si>
  <si>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</si>
  <si>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</si>
  <si>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</si>
  <si>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</si>
  <si>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</si>
  <si>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</si>
  <si>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</si>
  <si>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</si>
  <si>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</si>
  <si>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</si>
  <si>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</si>
  <si>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</si>
  <si>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</si>
  <si>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</si>
  <si>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</si>
  <si>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</si>
  <si>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</si>
  <si>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</si>
  <si>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</si>
  <si>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</si>
  <si>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</si>
  <si>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</si>
  <si>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</si>
  <si>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</si>
  <si>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</si>
  <si>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</si>
  <si>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</si>
  <si>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</si>
  <si>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</si>
  <si>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</si>
  <si>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</si>
  <si>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</si>
  <si>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</si>
  <si>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</si>
  <si>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</si>
  <si>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</si>
  <si>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</si>
  <si>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</si>
  <si>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</si>
  <si>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</si>
  <si>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</si>
  <si>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</si>
  <si>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</si>
  <si>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</si>
  <si>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</si>
  <si>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</si>
  <si>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</si>
  <si>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</si>
  <si>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</si>
  <si>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</si>
  <si>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</si>
  <si>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</si>
  <si>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</si>
  <si>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</si>
  <si>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</si>
  <si>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</si>
  <si>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</si>
  <si>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</si>
  <si>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</si>
  <si>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</si>
  <si>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</si>
  <si>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</si>
  <si>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</si>
  <si>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</si>
  <si>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</si>
  <si>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</si>
  <si>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</si>
  <si>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</si>
  <si>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</si>
  <si>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</si>
  <si>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</si>
  <si>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</si>
  <si>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</si>
  <si>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</si>
  <si>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</si>
  <si>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</si>
  <si>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</si>
  <si>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</si>
  <si>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</si>
  <si>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</si>
  <si>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</si>
  <si>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</si>
  <si>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</si>
  <si>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</si>
  <si>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</si>
  <si>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</si>
  <si>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</si>
  <si>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</si>
  <si>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</si>
  <si>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</si>
  <si>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</si>
  <si>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</si>
  <si>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</si>
  <si>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</si>
  <si>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</si>
  <si>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</si>
  <si>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</si>
  <si>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</si>
  <si>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</si>
  <si>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</si>
  <si>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</si>
  <si>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</si>
  <si>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</si>
  <si>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</si>
  <si>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</si>
  <si>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</si>
  <si>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</si>
  <si>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</si>
  <si>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</si>
  <si>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</si>
  <si>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</si>
  <si>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</si>
  <si>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</si>
  <si>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</si>
  <si>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</si>
  <si>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</si>
  <si>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</si>
  <si>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</si>
  <si>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</si>
  <si>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</si>
  <si>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</si>
  <si>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</si>
  <si>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</si>
  <si>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</si>
  <si>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</si>
  <si>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</si>
  <si>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</si>
  <si>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</si>
  <si>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</si>
  <si>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</si>
  <si>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</si>
  <si>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</si>
  <si>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</si>
  <si>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</si>
  <si>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</si>
  <si>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</si>
  <si>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</si>
  <si>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</si>
  <si>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</si>
  <si>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</si>
  <si>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</si>
  <si>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</si>
  <si>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</si>
  <si>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</si>
  <si>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</si>
  <si>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</si>
  <si>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</si>
  <si>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</si>
  <si>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</si>
  <si>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</si>
  <si>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</si>
  <si>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</si>
  <si>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</si>
  <si>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</si>
  <si>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</si>
  <si>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</si>
  <si>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</si>
  <si>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</si>
  <si>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</si>
  <si>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</si>
  <si>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</si>
  <si>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</si>
  <si>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</si>
  <si>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</si>
  <si>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</si>
  <si>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</si>
  <si>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</si>
  <si>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</si>
  <si>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</si>
  <si>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</si>
  <si>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</si>
  <si>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</si>
  <si>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</si>
  <si>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</si>
  <si>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</si>
  <si>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</si>
  <si>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</si>
  <si>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</si>
  <si>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</si>
  <si>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</si>
  <si>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</si>
  <si>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</si>
  <si>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</si>
  <si>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</si>
  <si>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</si>
  <si>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</si>
  <si>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</si>
  <si>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</si>
  <si>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</si>
  <si>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</si>
  <si>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</si>
  <si>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</si>
  <si>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</si>
  <si>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</si>
  <si>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</si>
  <si>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</si>
  <si>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</si>
  <si>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</si>
  <si>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</si>
  <si>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</si>
  <si>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</si>
  <si>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</si>
  <si>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</si>
  <si>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</si>
  <si>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</si>
  <si>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</si>
  <si>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</si>
  <si>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</si>
  <si>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</si>
  <si>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</si>
  <si>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</si>
  <si>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</si>
  <si>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</si>
  <si>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</si>
  <si>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</si>
  <si>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</si>
  <si>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</si>
  <si>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</si>
  <si>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</si>
  <si>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</si>
  <si>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</si>
  <si>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</si>
  <si>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</si>
  <si>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</si>
  <si>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</si>
  <si>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</si>
  <si>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</si>
  <si>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</si>
  <si>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</si>
  <si>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</si>
  <si>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</si>
  <si>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</si>
  <si>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</si>
  <si>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</si>
  <si>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</si>
  <si>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</si>
  <si>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</si>
  <si>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</si>
  <si>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</si>
  <si>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</si>
  <si>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</si>
  <si>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</si>
  <si>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</si>
  <si>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</si>
  <si>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</si>
  <si>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</si>
  <si>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</si>
  <si>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</si>
  <si>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</si>
  <si>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</si>
  <si>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</si>
  <si>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</si>
  <si>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</si>
  <si>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</si>
  <si>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</si>
  <si>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</si>
  <si>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</si>
  <si>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</si>
  <si>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</si>
  <si>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</si>
  <si>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</si>
  <si>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</si>
  <si>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</si>
  <si>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</si>
  <si>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</si>
  <si>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</si>
  <si>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</si>
  <si>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</si>
  <si>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</si>
  <si>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</si>
  <si>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</si>
  <si>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</si>
  <si>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</si>
  <si>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</si>
  <si>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</si>
  <si>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</si>
  <si>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</si>
  <si>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</si>
  <si>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</si>
  <si>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</si>
  <si>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</si>
  <si>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</si>
  <si>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</si>
  <si>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</si>
  <si>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</si>
  <si>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</si>
  <si>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</si>
  <si>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</si>
  <si>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</si>
  <si>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</si>
  <si>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</si>
  <si>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</si>
  <si>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</si>
  <si>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</si>
  <si>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</si>
  <si>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</si>
  <si>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</si>
  <si>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</si>
  <si>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</si>
  <si>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</si>
  <si>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</si>
  <si>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</si>
  <si>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</si>
  <si>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</si>
  <si>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</si>
  <si>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</si>
  <si>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</si>
  <si>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</si>
  <si>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</si>
  <si>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</si>
  <si>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</si>
  <si>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</si>
  <si>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</si>
  <si>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</si>
  <si>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</si>
  <si>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</si>
  <si>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</si>
  <si>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</si>
  <si>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</si>
  <si>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</si>
  <si>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</si>
  <si>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</si>
  <si>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</si>
  <si>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</si>
  <si>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</si>
  <si>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</si>
  <si>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</si>
  <si>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</si>
  <si>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</si>
  <si>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</si>
  <si>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</si>
  <si>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</si>
  <si>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</si>
  <si>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</si>
  <si>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</si>
  <si>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</si>
  <si>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</si>
  <si>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</si>
  <si>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</si>
  <si>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</si>
  <si>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</si>
  <si>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</si>
  <si>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</si>
  <si>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</si>
  <si>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</si>
  <si>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</si>
  <si>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</si>
  <si>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</si>
  <si>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</si>
  <si>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</si>
  <si>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</si>
  <si>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</si>
  <si>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</si>
  <si>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</si>
  <si>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</si>
  <si>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</si>
  <si>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</si>
  <si>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</si>
  <si>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</si>
  <si>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</si>
  <si>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</si>
  <si>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</si>
  <si>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</si>
  <si>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</si>
  <si>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</si>
  <si>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</si>
  <si>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</si>
  <si>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</si>
  <si>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</si>
  <si>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</si>
  <si>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</si>
  <si>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</si>
  <si>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</si>
  <si>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</si>
  <si>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</si>
  <si>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</si>
  <si>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</si>
  <si>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</si>
  <si>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</si>
  <si>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</si>
  <si>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</si>
  <si>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</si>
  <si>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</si>
  <si>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</si>
  <si>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</si>
  <si>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</si>
  <si>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</si>
  <si>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</si>
  <si>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</si>
  <si>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</si>
  <si>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</si>
  <si>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</si>
  <si>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</si>
  <si>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</si>
  <si>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</si>
  <si>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</si>
  <si>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</si>
  <si>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</si>
  <si>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</si>
  <si>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</si>
  <si>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</si>
  <si>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</si>
  <si>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</si>
  <si>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</si>
  <si>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</si>
  <si>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</si>
  <si>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</si>
  <si>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</si>
  <si>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</si>
  <si>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</si>
  <si>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</si>
  <si>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</si>
  <si>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</si>
  <si>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</si>
  <si>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</si>
  <si>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</si>
  <si>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</si>
  <si>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</si>
  <si>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</si>
  <si>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</si>
  <si>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</si>
  <si>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</si>
  <si>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</si>
  <si>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</si>
  <si>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</si>
  <si>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</si>
  <si>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</si>
  <si>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</si>
  <si>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</si>
  <si>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</si>
  <si>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</si>
  <si>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</si>
  <si>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</si>
  <si>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</si>
  <si>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</si>
  <si>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</si>
  <si>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</si>
  <si>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</si>
  <si>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</si>
  <si>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</si>
  <si>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</si>
  <si>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</si>
  <si>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</si>
  <si>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</si>
  <si>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</si>
  <si>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</si>
  <si>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</si>
  <si>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</si>
  <si>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</si>
  <si>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</si>
  <si>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</si>
  <si>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</si>
  <si>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</si>
  <si>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</si>
  <si>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</si>
  <si>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</si>
  <si>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</si>
  <si>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</si>
  <si>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</si>
  <si>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</si>
  <si>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</si>
  <si>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</si>
  <si>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</si>
  <si>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</si>
  <si>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</si>
  <si>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</si>
  <si>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</si>
  <si>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</si>
  <si>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</si>
  <si>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</si>
  <si>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</si>
  <si>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</si>
  <si>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</si>
  <si>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</si>
  <si>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</si>
  <si>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</si>
  <si>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</si>
  <si>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</si>
  <si>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</si>
  <si>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</si>
  <si>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</si>
  <si>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</si>
  <si>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</si>
  <si>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</si>
  <si>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</si>
  <si>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</si>
  <si>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</si>
  <si>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</si>
  <si>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</si>
  <si>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</si>
  <si>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</si>
  <si>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</si>
  <si>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</si>
  <si>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</si>
  <si>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</si>
  <si>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</si>
  <si>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</si>
  <si>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</si>
  <si>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</si>
  <si>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</si>
  <si>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</si>
  <si>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</si>
  <si>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</si>
  <si>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</si>
  <si>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</si>
  <si>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</si>
  <si>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</si>
  <si>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</si>
  <si>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</si>
  <si>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</si>
  <si>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</si>
  <si>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</si>
  <si>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</si>
  <si>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</si>
  <si>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</si>
  <si>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</si>
  <si>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</si>
  <si>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</si>
  <si>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</si>
  <si>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</si>
  <si>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</si>
  <si>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</si>
  <si>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</si>
  <si>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</si>
  <si>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</si>
  <si>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</si>
  <si>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</si>
  <si>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</si>
  <si>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</si>
  <si>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</si>
  <si>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</si>
  <si>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</si>
  <si>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</si>
  <si>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</si>
  <si>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</si>
  <si>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</si>
  <si>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</si>
  <si>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</si>
  <si>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</si>
  <si>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</si>
  <si>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</si>
  <si>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</si>
  <si>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</si>
  <si>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</si>
  <si>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</si>
  <si>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</si>
  <si>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</si>
  <si>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</si>
  <si>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</si>
  <si>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</si>
  <si>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</si>
  <si>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</si>
  <si>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</si>
  <si>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</si>
  <si>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</si>
  <si>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</si>
  <si>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</si>
  <si>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</si>
  <si>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</si>
  <si>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</si>
  <si>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</si>
  <si>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</si>
  <si>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</si>
  <si>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</si>
  <si>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</si>
  <si>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</si>
  <si>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</si>
  <si>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</si>
  <si>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</si>
  <si>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</si>
  <si>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</si>
  <si>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</si>
  <si>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</si>
  <si>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</si>
  <si>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</si>
  <si>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</si>
  <si>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</si>
  <si>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</si>
  <si>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</si>
  <si>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</si>
  <si>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</si>
  <si>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</si>
  <si>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</si>
  <si>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</si>
  <si>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</si>
  <si>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</si>
  <si>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</si>
  <si>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</si>
  <si>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</si>
  <si>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</si>
  <si>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</si>
  <si>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</si>
  <si>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</si>
  <si>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</si>
  <si>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</si>
  <si>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</si>
  <si>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</si>
  <si>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</si>
  <si>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</si>
  <si>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</si>
  <si>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</si>
  <si>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</si>
  <si>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</si>
  <si>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</si>
  <si>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</si>
  <si>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</si>
  <si>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</si>
  <si>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</si>
  <si>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</si>
  <si>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</si>
  <si>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</si>
  <si>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</si>
  <si>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</si>
  <si>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</si>
  <si>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</si>
  <si>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</si>
  <si>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</si>
  <si>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</si>
  <si>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</si>
  <si>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</si>
  <si>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</si>
  <si>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</si>
  <si>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</si>
  <si>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</si>
  <si>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</si>
  <si>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</si>
  <si>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</si>
  <si>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</si>
  <si>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</si>
  <si>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</si>
  <si>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</si>
  <si>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</si>
  <si>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</si>
  <si>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</si>
  <si>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</si>
  <si>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</si>
  <si>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</si>
  <si>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</si>
  <si>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</si>
  <si>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</si>
  <si>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</si>
  <si>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</si>
  <si>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</si>
  <si>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</si>
  <si>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</si>
  <si>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</si>
  <si>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</si>
  <si>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</si>
  <si>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</si>
  <si>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</si>
  <si>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</si>
  <si>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</si>
  <si>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</si>
  <si>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</si>
  <si>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</si>
  <si>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</si>
  <si>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</si>
  <si>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</si>
  <si>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</si>
  <si>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</si>
  <si>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</si>
  <si>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</si>
  <si>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</si>
  <si>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</si>
  <si>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</si>
  <si>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</si>
  <si>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</si>
  <si>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</si>
  <si>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</si>
  <si>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</si>
  <si>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</si>
  <si>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</si>
  <si>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</si>
  <si>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</si>
  <si>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</si>
  <si>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</si>
  <si>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</si>
  <si>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</si>
  <si>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</si>
  <si>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</si>
  <si>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</si>
  <si>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</si>
  <si>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</si>
  <si>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</si>
  <si>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</si>
  <si>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</si>
  <si>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</si>
  <si>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</si>
  <si>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</si>
  <si>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</si>
  <si>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</si>
  <si>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</si>
  <si>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</si>
  <si>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</si>
  <si>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</si>
  <si>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</si>
  <si>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</si>
  <si>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</si>
  <si>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</si>
  <si>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</si>
  <si>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</si>
  <si>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</si>
  <si>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</si>
  <si>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</si>
  <si>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</si>
  <si>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</si>
  <si>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</si>
  <si>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</si>
  <si>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</si>
  <si>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</si>
  <si>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</si>
  <si>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</si>
  <si>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</si>
  <si>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</si>
  <si>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</si>
  <si>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</si>
  <si>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</si>
  <si>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</si>
  <si>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</si>
  <si>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</si>
  <si>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</si>
  <si>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</si>
  <si>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</si>
  <si>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</si>
  <si>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</si>
  <si>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</si>
  <si>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</si>
  <si>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</si>
  <si>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</si>
  <si>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</si>
  <si>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</si>
  <si>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</si>
  <si>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</si>
  <si>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</si>
  <si>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</si>
  <si>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</si>
  <si>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</si>
  <si>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</si>
  <si>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</si>
  <si>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</si>
  <si>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</si>
  <si>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</si>
  <si>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</si>
  <si>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</si>
  <si>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</si>
  <si>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</si>
  <si>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</si>
  <si>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</si>
  <si>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</si>
  <si>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</si>
  <si>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</si>
  <si>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</si>
  <si>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</si>
  <si>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</si>
  <si>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</si>
  <si>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</si>
  <si>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</si>
  <si>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</si>
  <si>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</si>
  <si>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</si>
  <si>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</si>
  <si>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</si>
  <si>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</si>
  <si>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</si>
  <si>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</si>
  <si>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</si>
  <si>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</si>
  <si>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</si>
  <si>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</si>
  <si>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</si>
  <si>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</si>
  <si>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</si>
  <si>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</si>
  <si>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</si>
  <si>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</si>
  <si>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</si>
  <si>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</si>
  <si>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</si>
  <si>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</si>
  <si>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</si>
  <si>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</si>
  <si>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</si>
  <si>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</si>
  <si>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</si>
  <si>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</si>
  <si>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</si>
  <si>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</si>
  <si>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</si>
  <si>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</si>
  <si>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</si>
  <si>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</si>
  <si>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</si>
  <si>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</si>
  <si>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</si>
  <si>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</si>
  <si>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</si>
  <si>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</si>
  <si>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</si>
  <si>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</si>
  <si>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</si>
  <si>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</si>
  <si>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</si>
  <si>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</si>
  <si>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</si>
  <si>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</si>
  <si>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</si>
  <si>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</si>
  <si>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</si>
  <si>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</si>
  <si>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</si>
  <si>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</si>
  <si>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</si>
  <si>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</si>
  <si>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</si>
  <si>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</si>
  <si>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</si>
  <si>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</si>
  <si>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</si>
  <si>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</si>
  <si>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</si>
  <si>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</si>
  <si>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</si>
  <si>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</si>
  <si>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</si>
  <si>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</si>
  <si>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</si>
  <si>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</si>
  <si>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</si>
  <si>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</si>
  <si>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</si>
  <si>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</si>
  <si>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</si>
  <si>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</si>
  <si>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</si>
  <si>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</si>
  <si>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</si>
  <si>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</si>
  <si>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</si>
  <si>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</si>
  <si>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</si>
  <si>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</si>
  <si>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</si>
  <si>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</si>
  <si>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</si>
  <si>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</si>
  <si>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</si>
  <si>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</si>
  <si>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</si>
  <si>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</si>
  <si>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</si>
  <si>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</si>
  <si>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</si>
  <si>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</si>
  <si>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</si>
  <si>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</si>
  <si>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</si>
  <si>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</si>
  <si>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</si>
  <si>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</si>
  <si>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</si>
  <si>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</si>
  <si>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</si>
  <si>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</si>
  <si>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</si>
  <si>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</si>
  <si>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</si>
  <si>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</si>
  <si>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</si>
  <si>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</si>
  <si>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</si>
  <si>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</si>
  <si>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</si>
  <si>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</si>
  <si>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</si>
  <si>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</si>
  <si>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</si>
  <si>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</si>
  <si>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</si>
  <si>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</si>
  <si>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</si>
  <si>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</si>
  <si>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</si>
  <si>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</si>
  <si>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</si>
  <si>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</si>
  <si>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</si>
  <si>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</si>
  <si>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</si>
  <si>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</si>
  <si>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</si>
  <si>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</si>
  <si>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</si>
  <si>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</si>
  <si>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</si>
  <si>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</si>
  <si>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</si>
  <si>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</si>
  <si>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</si>
  <si>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</si>
  <si>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</si>
  <si>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</si>
  <si>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</si>
  <si>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</si>
  <si>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</si>
  <si>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</si>
  <si>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</si>
  <si>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</si>
  <si>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</si>
  <si>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</si>
  <si>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</si>
  <si>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</si>
  <si>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</si>
  <si>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</si>
  <si>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</si>
  <si>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</si>
  <si>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</si>
  <si>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</si>
  <si>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</si>
  <si>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</si>
  <si>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</si>
  <si>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</si>
  <si>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</si>
  <si>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</si>
  <si>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</si>
  <si>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</si>
  <si>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</si>
  <si>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</si>
  <si>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</si>
  <si>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</si>
  <si>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</si>
  <si>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</si>
  <si>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</si>
  <si>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</si>
  <si>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</si>
  <si>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</si>
  <si>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</si>
  <si>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</si>
  <si>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</si>
  <si>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</si>
  <si>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</si>
  <si>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</si>
  <si>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</si>
  <si>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</si>
  <si>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</si>
  <si>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</si>
  <si>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</si>
  <si>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</si>
  <si>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</si>
  <si>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</si>
  <si>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</si>
  <si>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</si>
  <si>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</si>
  <si>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</si>
  <si>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</si>
  <si>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</si>
  <si>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</si>
  <si>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</si>
  <si>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</si>
  <si>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</si>
  <si>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</si>
  <si>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</si>
  <si>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</si>
  <si>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</si>
  <si>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</si>
  <si>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</si>
  <si>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</si>
  <si>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</si>
  <si>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</si>
  <si>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</si>
  <si>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</si>
  <si>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</si>
  <si>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</si>
  <si>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</si>
  <si>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</si>
  <si>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</si>
  <si>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</si>
  <si>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</si>
  <si>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</si>
  <si>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</si>
  <si>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</si>
  <si>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</si>
  <si>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</si>
  <si>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</si>
  <si>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</si>
  <si>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</si>
  <si>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</si>
  <si>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</si>
  <si>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</si>
  <si>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</si>
  <si>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</si>
  <si>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</si>
  <si>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</si>
  <si>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</si>
  <si>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</si>
  <si>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</si>
  <si>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</si>
  <si>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</si>
  <si>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</si>
  <si>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</si>
  <si>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</si>
  <si>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</si>
  <si>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</si>
  <si>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</si>
  <si>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</si>
  <si>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</si>
  <si>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</si>
  <si>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</si>
  <si>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</si>
  <si>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</si>
  <si>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</si>
  <si>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</si>
  <si>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</si>
  <si>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</si>
  <si>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</si>
  <si>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</si>
  <si>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</si>
  <si>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</si>
  <si>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</si>
  <si>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</si>
  <si>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</si>
  <si>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</si>
  <si>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</si>
  <si>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</si>
  <si>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</si>
  <si>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</si>
  <si>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</si>
  <si>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</si>
  <si>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</si>
  <si>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</si>
  <si>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</si>
  <si>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</si>
  <si>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</si>
  <si>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</si>
  <si>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</si>
  <si>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</si>
  <si>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</si>
  <si>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</si>
  <si>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</si>
  <si>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</si>
  <si>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</si>
  <si>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</si>
  <si>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</si>
  <si>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</si>
  <si>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</si>
  <si>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</si>
  <si>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</si>
  <si>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</si>
  <si>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</si>
  <si>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</si>
  <si>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</si>
  <si>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</si>
  <si>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</si>
  <si>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</si>
  <si>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</si>
  <si>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</si>
  <si>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</si>
  <si>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</si>
  <si>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</si>
  <si>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</si>
  <si>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</si>
  <si>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</si>
  <si>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</si>
  <si>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</si>
  <si>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</si>
  <si>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</si>
  <si>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</si>
  <si>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</si>
  <si>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</si>
  <si>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</si>
  <si>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</si>
  <si>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</si>
  <si>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</si>
  <si>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</si>
  <si>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</si>
  <si>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</si>
  <si>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</si>
  <si>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</si>
  <si>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</si>
  <si>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</si>
  <si>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</si>
  <si>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</si>
  <si>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</si>
  <si>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</si>
  <si>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</si>
  <si>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</si>
  <si>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</si>
  <si>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</si>
  <si>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</si>
  <si>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</si>
  <si>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</si>
  <si>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</si>
  <si>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</si>
  <si>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</si>
  <si>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</si>
  <si>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</si>
  <si>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</si>
  <si>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</si>
  <si>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</si>
  <si>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</si>
  <si>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</si>
  <si>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</si>
  <si>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</si>
  <si>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</si>
  <si>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</si>
  <si>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</si>
  <si>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</si>
  <si>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</si>
  <si>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</si>
  <si>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</si>
  <si>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</si>
  <si>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</si>
  <si>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</si>
  <si>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</si>
  <si>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</si>
  <si>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</si>
  <si>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</si>
  <si>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</si>
  <si>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</si>
  <si>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</si>
  <si>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</si>
  <si>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</si>
  <si>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</si>
  <si>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</si>
  <si>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</si>
  <si>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</si>
  <si>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</si>
  <si>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</si>
  <si>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</si>
  <si>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</si>
  <si>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</si>
  <si>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</si>
  <si>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</si>
  <si>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</si>
  <si>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</si>
  <si>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</si>
  <si>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</si>
  <si>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</si>
  <si>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</si>
  <si>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</si>
  <si>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</si>
  <si>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</si>
  <si>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</si>
  <si>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</si>
  <si>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</si>
  <si>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</si>
  <si>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</si>
  <si>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</si>
  <si>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</si>
  <si>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</si>
  <si>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</si>
  <si>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</si>
  <si>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</si>
  <si>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</si>
  <si>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</si>
  <si>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</si>
  <si>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</si>
  <si>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</si>
  <si>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</si>
  <si>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</si>
  <si>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</si>
  <si>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</si>
  <si>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</si>
  <si>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</si>
  <si>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</si>
  <si>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</si>
  <si>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</si>
  <si>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</si>
  <si>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</si>
  <si>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</si>
  <si>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</si>
  <si>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</si>
  <si>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</si>
  <si>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</si>
  <si>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</si>
  <si>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</si>
  <si>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</si>
  <si>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</si>
  <si>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</si>
  <si>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</si>
  <si>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</si>
  <si>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</si>
  <si>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</si>
  <si>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</si>
  <si>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</si>
  <si>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</si>
  <si>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</si>
  <si>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</si>
  <si>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</si>
  <si>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</si>
  <si>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</si>
  <si>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</si>
  <si>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</si>
  <si>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</si>
  <si>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</si>
  <si>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</si>
  <si>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</si>
  <si>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</si>
  <si>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</si>
  <si>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</si>
  <si>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</si>
  <si>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</si>
  <si>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</si>
  <si>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</si>
  <si>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</si>
  <si>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</si>
  <si>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</si>
  <si>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</si>
  <si>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</si>
  <si>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</si>
  <si>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</si>
  <si>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</si>
  <si>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</si>
  <si>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</si>
  <si>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</si>
  <si>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</si>
  <si>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</si>
  <si>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</si>
  <si>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</si>
  <si>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</si>
  <si>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</si>
  <si>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</si>
  <si>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</si>
  <si>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</si>
  <si>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</si>
  <si>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</si>
  <si>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</si>
  <si>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</si>
  <si>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</si>
  <si>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</si>
  <si>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</si>
  <si>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</si>
  <si>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</si>
  <si>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</si>
  <si>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</si>
  <si>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</si>
  <si>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</si>
  <si>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</si>
  <si>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</si>
  <si>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</si>
  <si>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</si>
  <si>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</si>
  <si>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</si>
  <si>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</si>
  <si>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</si>
  <si>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</si>
  <si>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</si>
  <si>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</si>
  <si>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</si>
  <si>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</si>
  <si>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</si>
  <si>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</si>
  <si>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</si>
  <si>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</si>
  <si>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</si>
  <si>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</si>
  <si>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</si>
  <si>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</si>
  <si>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</si>
  <si>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</si>
  <si>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</si>
  <si>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</si>
  <si>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</si>
  <si>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</si>
  <si>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</si>
  <si>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</si>
  <si>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</si>
  <si>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</si>
  <si>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</si>
  <si>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</si>
  <si>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</si>
  <si>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</si>
  <si>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</si>
  <si>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</si>
  <si>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</si>
  <si>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</si>
  <si>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</si>
  <si>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</si>
  <si>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</si>
  <si>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</si>
  <si>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</si>
  <si>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</si>
  <si>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</si>
  <si>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</si>
  <si>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</si>
  <si>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</si>
  <si>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</si>
  <si>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</si>
  <si>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</si>
  <si>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</si>
  <si>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</si>
  <si>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</si>
  <si>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</si>
  <si>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</si>
  <si>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</si>
  <si>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</si>
  <si>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</si>
  <si>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</si>
  <si>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</si>
  <si>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</si>
  <si>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</si>
  <si>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</si>
  <si>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</si>
  <si>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</si>
  <si>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</si>
  <si>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</si>
  <si>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</si>
  <si>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</si>
  <si>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</si>
  <si>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</si>
  <si>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</si>
  <si>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</si>
  <si>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</si>
  <si>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</si>
  <si>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</si>
  <si>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</si>
  <si>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</si>
  <si>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</si>
  <si>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</si>
  <si>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</si>
  <si>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</si>
  <si>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</si>
  <si>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</si>
  <si>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</si>
  <si>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</si>
  <si>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</si>
  <si>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</si>
  <si>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</si>
  <si>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</si>
  <si>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</si>
  <si>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</si>
  <si>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</si>
  <si>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</si>
  <si>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</si>
  <si>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</si>
  <si>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</si>
  <si>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</si>
  <si>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</si>
  <si>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</si>
  <si>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</si>
  <si>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</si>
  <si>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</si>
  <si>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</si>
  <si>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</si>
  <si>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</si>
  <si>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</si>
  <si>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</si>
  <si>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</si>
  <si>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</si>
  <si>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</si>
  <si>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</si>
  <si>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</si>
  <si>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</si>
  <si>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</si>
  <si>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</si>
  <si>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</si>
  <si>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</si>
  <si>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</si>
  <si>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</si>
  <si>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</si>
  <si>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</si>
  <si>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</si>
  <si>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</si>
  <si>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</si>
  <si>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</si>
  <si>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</si>
  <si>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</si>
  <si>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</si>
  <si>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</si>
  <si>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</si>
  <si>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</si>
  <si>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</si>
  <si>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</si>
  <si>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</si>
  <si>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</si>
  <si>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</si>
  <si>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</si>
  <si>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</si>
  <si>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</si>
  <si>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</si>
  <si>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</si>
  <si>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</si>
  <si>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</si>
  <si>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</si>
  <si>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</si>
  <si>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</si>
  <si>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</si>
  <si>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</si>
  <si>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</si>
  <si>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</si>
  <si>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</si>
  <si>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</si>
  <si>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</si>
  <si>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</si>
  <si>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</si>
  <si>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</si>
  <si>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</si>
  <si>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</si>
  <si>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</si>
  <si>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</si>
  <si>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</si>
  <si>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</si>
  <si>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</si>
  <si>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</si>
  <si>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</si>
  <si>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</si>
  <si>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</si>
  <si>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</si>
  <si>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</si>
  <si>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</si>
  <si>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</si>
  <si>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</si>
  <si>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</si>
  <si>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</si>
  <si>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</si>
  <si>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</si>
  <si>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</si>
  <si>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</si>
  <si>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</si>
  <si>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</si>
  <si>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</si>
  <si>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</si>
  <si>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</si>
  <si>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</si>
  <si>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Placetec AG</t>
  </si>
  <si>
    <t>1-11-11 Shiba Minato-Ku, Tokyo 105-0014, Japan</t>
  </si>
  <si>
    <t>Daiki Kuwahara</t>
  </si>
  <si>
    <t>d-kuwahara@ml.allied-material.co.jp</t>
  </si>
  <si>
    <t>Validated by RBI until 06/13/2021</t>
  </si>
  <si>
    <t>Not disclosed by supplier</t>
  </si>
  <si>
    <t>Mineral sourcing L1, R/S, China</t>
  </si>
  <si>
    <t>RMAP conformant smelter</t>
  </si>
  <si>
    <t>105 Bellows St, Warwick, RI 02888</t>
  </si>
  <si>
    <t>Shaun Galligan</t>
  </si>
  <si>
    <t>sgalligan@advchem.com</t>
  </si>
  <si>
    <t>Validated by RBI until 10/17/2018</t>
  </si>
  <si>
    <t>Recycled, Scrap</t>
  </si>
  <si>
    <t>Mineral sourcing R/S</t>
  </si>
  <si>
    <t>RMAP Conformant Smelter</t>
  </si>
  <si>
    <t>6-15-13 Minami-cho, Fuchu-shi, Tokyo, 1830026 Japan</t>
  </si>
  <si>
    <t>Seigo Mukoyama</t>
  </si>
  <si>
    <t>smukoyama@aida-j.jp</t>
  </si>
  <si>
    <t>Validated by RBI until 04/16/2021</t>
  </si>
  <si>
    <t>Kanzlerstrasse 17, 75175 Pforzheim, Germany</t>
  </si>
  <si>
    <t>Karl Heinz</t>
  </si>
  <si>
    <t>karl-heinz.flach@agosi.de</t>
  </si>
  <si>
    <t>Validated by LBMA / RJC until 08/14/2019</t>
  </si>
  <si>
    <t>Almalyk, Tashkent Province, Uzbekistan</t>
  </si>
  <si>
    <t>Mr. Rustam Halilov (Export Manager)</t>
  </si>
  <si>
    <t>r.halilov@agmk.uz</t>
  </si>
  <si>
    <t>Validated by LBMA until 01/02/2019</t>
  </si>
  <si>
    <t>Not disclosed per LBMA</t>
  </si>
  <si>
    <t>Nova Lima, Brazil</t>
  </si>
  <si>
    <t>Jose Roberto Vago</t>
  </si>
  <si>
    <t>JRVago@AngloGoldAshanti.com.br</t>
  </si>
  <si>
    <t>Reaudit In Progress by LBMA</t>
  </si>
  <si>
    <t>Mendrisio, Ticino, Switzerland</t>
  </si>
  <si>
    <t>Christoph Wild (Co-CEO)</t>
  </si>
  <si>
    <t>christoph.wild@argor.com</t>
  </si>
  <si>
    <t>Validated by LBMA / RJC until 06/26/2020</t>
  </si>
  <si>
    <t>Recycled, Scrap and mines</t>
  </si>
  <si>
    <t>Recycled or scrap (Not 100%)</t>
  </si>
  <si>
    <t>Sapia Tower 11F, 1-7-12 Marunouchi, Chiyoda-ku, Tokyo, 100-0005, Japan</t>
  </si>
  <si>
    <t>Takatsugu Motoki (Assistant General Manager)</t>
  </si>
  <si>
    <t>t-motoki@asahipretec.com</t>
  </si>
  <si>
    <t>47 Aza Maseguchi, Kanaya Tamura-machi, Koriyama-shi, Fukushima, 963-0725, JAPAN</t>
  </si>
  <si>
    <t>Mr. Masahiko Endo</t>
  </si>
  <si>
    <t>smendo@asaka.co.jp</t>
  </si>
  <si>
    <t>Validated by RBI until 01/14/2019</t>
  </si>
  <si>
    <t>Huntsville, AL</t>
  </si>
  <si>
    <t>Kristi Turley</t>
  </si>
  <si>
    <t>kristi.turley@kennametal.com</t>
  </si>
  <si>
    <t xml:space="preserve">Reaudit In Progress by RBI </t>
  </si>
  <si>
    <t>Mineral sourcing L1, R/S, Not disclosed by supplier</t>
  </si>
  <si>
    <t>Hamburg, Germany</t>
  </si>
  <si>
    <t>Steffi Greif</t>
  </si>
  <si>
    <t>s.greif@aurubis.com</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</si>
  <si>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</si>
  <si>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</si>
  <si>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</si>
  <si>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Skelleftehamn, Skellefteå Municipality, Västerbotten County, Sweden</t>
  </si>
  <si>
    <t>Hanna Schweitz</t>
  </si>
  <si>
    <t>hanna.schweitz@boliden.com</t>
  </si>
  <si>
    <t>Validated by LBMA until 04/11/2019</t>
  </si>
  <si>
    <t>Pforzheim, Baden-Württemberg, Germany</t>
  </si>
  <si>
    <t>Philipp Reisert, Bruno Steinmetz</t>
  </si>
  <si>
    <t>Philipp.Reisert@c-hafner.de, ph.reisert@c-hafner.de,  Bruno.Steinmetz@c-hafner.de</t>
  </si>
  <si>
    <t>Validated by LBMA / RJC until 03/18/2019</t>
  </si>
  <si>
    <t>Montréal, Quebec, Canada</t>
  </si>
  <si>
    <t>Teresa Bent</t>
  </si>
  <si>
    <t>Teresa.Bent@glencore-ca.com</t>
  </si>
  <si>
    <t>Validated by LBMA until 03/23/2018</t>
  </si>
  <si>
    <t>Biel-Bienne, Switzerland</t>
  </si>
  <si>
    <t>Dr. Theo Gautschi</t>
  </si>
  <si>
    <t>theo.gautschi@cmsa.ch</t>
  </si>
  <si>
    <t>Validated by RBI until 11/29/2018</t>
  </si>
  <si>
    <t>Yunnan</t>
  </si>
  <si>
    <t>Changsha South Tantalum Niobium Co., Ltd. Dagualing Village, Huangxing Town, Changsha Hunan 410129, China</t>
  </si>
  <si>
    <t>Hunan</t>
  </si>
  <si>
    <t>Ivy Du</t>
  </si>
  <si>
    <t>ivydu@csnftn.cn</t>
  </si>
  <si>
    <t>Guantang Ind. Zone Chaozhou Guangdong China    PC: 515633</t>
  </si>
  <si>
    <t>Guangdong</t>
  </si>
  <si>
    <t>Mr. Ryan Ding</t>
  </si>
  <si>
    <t>dsj@xl-tungsten.com</t>
  </si>
  <si>
    <t>Validated by RBI until 11/10/2020</t>
  </si>
  <si>
    <t>Mineral sourcing L1, Not disclosed by supplier</t>
  </si>
  <si>
    <t>xiaducun</t>
  </si>
  <si>
    <r>
      <rPr>
        <sz val="10"/>
        <rFont val="FangSong"/>
        <family val="3"/>
        <charset val="134"/>
      </rPr>
      <t>吴</t>
    </r>
    <r>
      <rPr>
        <sz val="10"/>
        <rFont val="돋움"/>
        <family val="3"/>
        <charset val="129"/>
      </rPr>
      <t>先生</t>
    </r>
  </si>
  <si>
    <t>543583468@qq.com</t>
  </si>
  <si>
    <r>
      <rPr>
        <sz val="10"/>
        <rFont val="돋움"/>
        <family val="3"/>
        <charset val="129"/>
      </rPr>
      <t>屋</t>
    </r>
    <r>
      <rPr>
        <sz val="10"/>
        <rFont val="FangSong"/>
        <family val="3"/>
        <charset val="134"/>
      </rPr>
      <t>场</t>
    </r>
    <r>
      <rPr>
        <sz val="10"/>
        <rFont val="돋움"/>
        <family val="3"/>
        <charset val="129"/>
      </rPr>
      <t>坪</t>
    </r>
    <r>
      <rPr>
        <sz val="10"/>
        <rFont val="FangSong"/>
        <family val="3"/>
        <charset val="134"/>
      </rPr>
      <t>锡矿</t>
    </r>
  </si>
  <si>
    <t>China</t>
  </si>
  <si>
    <t>Arezzo, Italy</t>
  </si>
  <si>
    <t>Giovanni Prelazzi</t>
  </si>
  <si>
    <t>giovanni.prelazzi@chimet.com</t>
  </si>
  <si>
    <t>Validated by LBMA until 05/02/2019</t>
  </si>
  <si>
    <t>CID000244</t>
  </si>
  <si>
    <t>Jiangxi Ketai Advanced Material Co., Ltd.</t>
  </si>
  <si>
    <t>Tong Cheng Avenue, Gao’an City, Yichun, Jiangxi, China</t>
  </si>
  <si>
    <t>Jiangxi</t>
  </si>
  <si>
    <t>Minna Shu</t>
  </si>
  <si>
    <t>Sales@china-raremetal.com</t>
  </si>
  <si>
    <t>Validated by RBI until 09/29/2018</t>
  </si>
  <si>
    <t>341300, Taxia Chongyi, Ganzhou, Jiangxi province, China</t>
  </si>
  <si>
    <t>Wubing</t>
  </si>
  <si>
    <t>export1@zy-tungsten.com</t>
  </si>
  <si>
    <t>From Taoxikeng Tungsten Industry Mine</t>
  </si>
  <si>
    <t>Mineral sourcing L1, China</t>
  </si>
  <si>
    <t>CID000278</t>
  </si>
  <si>
    <t>CFSI</t>
  </si>
  <si>
    <t>Guangxi</t>
  </si>
  <si>
    <t>CID000291</t>
  </si>
  <si>
    <t>Guangdong Rising Rare Metals-EO Materials Ltd.</t>
  </si>
  <si>
    <t>Conghua Tantalum and Niobium Smeltry, Shen'gang, Taiping Town, Conghua, Guangdong Province, China</t>
  </si>
  <si>
    <t>Conghua</t>
  </si>
  <si>
    <t>Sandy Liu (Supervisor of Operation Department)</t>
  </si>
  <si>
    <t>cnts723@126.com</t>
  </si>
  <si>
    <t>Validated by RBI until 11/04/2018</t>
  </si>
  <si>
    <t>Mineral sourcing L1,L2,DRC, Not disclosed by supplier</t>
  </si>
  <si>
    <t>4100 Sixth Avenue, Altoona PA 16602</t>
  </si>
  <si>
    <t>Dan Weaver</t>
  </si>
  <si>
    <t>dweaver@alent.com</t>
  </si>
  <si>
    <t>Validated by RBI until 05/07/2019</t>
  </si>
  <si>
    <t>CID000295</t>
  </si>
  <si>
    <t>Cooperativa Metalurgica de Rondonia Ltda.</t>
  </si>
  <si>
    <t>Compliant</t>
  </si>
  <si>
    <t>CID000306</t>
  </si>
  <si>
    <t>CV Gita Pesona</t>
  </si>
  <si>
    <t>Kawasan Industri Jelitik Sungailiat Kepulauan Bangka Belitung Province</t>
  </si>
  <si>
    <t>Mr. Syafrizal (ST, Head of Mining Engineering)</t>
  </si>
  <si>
    <t>syafrizal_srmi@yahoo.co.id</t>
  </si>
  <si>
    <t>Validated by RBI until 10/25/2019</t>
  </si>
  <si>
    <t>CID000309</t>
  </si>
  <si>
    <t>PT Aries Kencana Sejahtera</t>
  </si>
  <si>
    <t>Jl. Halmahera Dusun Sigambir, Desa Air Ruai, Kec. Pemali, Kab. Bangka, Kepulauan Kepulauan Bangka Belitung</t>
  </si>
  <si>
    <t>Pemali</t>
  </si>
  <si>
    <t>Gian Fierra</t>
  </si>
  <si>
    <t>gianfierra21@outlook.com</t>
  </si>
  <si>
    <t>Validated by RBI until 07/26/2019</t>
  </si>
  <si>
    <t>CID000313</t>
  </si>
  <si>
    <t>PT Premium Tin Indonesia</t>
  </si>
  <si>
    <t>Jl. Polwan No 20 Kel. Dul Kec. Pangkalan Baru Kabupaten Bangka Tengah Provinsi Kep. Kepulauan Bangka Belitung</t>
  </si>
  <si>
    <t>Pangkalan</t>
  </si>
  <si>
    <t>David Moeis</t>
  </si>
  <si>
    <t>d.moeis@gmail.com</t>
  </si>
  <si>
    <t>Validated by RBI until 10/27/2019</t>
  </si>
  <si>
    <t>CID000315</t>
  </si>
  <si>
    <t>CV United Smelting</t>
  </si>
  <si>
    <t>Jalan Parit Lalang No.2, Pangkalpinang, Bangka - Indonesia</t>
  </si>
  <si>
    <t>Pangkal Pinang</t>
  </si>
  <si>
    <t>Firmino Silva</t>
  </si>
  <si>
    <t>fsilva.ersa@csn.com.br</t>
  </si>
  <si>
    <t>From Pangkal Pinang, Bangka Island Indonesia</t>
  </si>
  <si>
    <t>Mineral sourcing L1, Indonesia</t>
  </si>
  <si>
    <t>CID000328</t>
  </si>
  <si>
    <t>Daejin Indus Co., Ltd.</t>
  </si>
  <si>
    <t>Ga-dong, 390-10 Gojan-dong, Namdong-gu, Incheon, South Korea</t>
  </si>
  <si>
    <t>Namdong-gu</t>
  </si>
  <si>
    <t>Randy S. Ju (Marketing Manager)</t>
  </si>
  <si>
    <t>ibyunvi@naver.com</t>
  </si>
  <si>
    <t>Validated by RBI until 08/25/2019</t>
  </si>
  <si>
    <t>Hubei</t>
  </si>
  <si>
    <t>415-872 Gaekok-ri Wolgok-myeon, Gimpo, Gyongki-do 606-28 Korea</t>
  </si>
  <si>
    <t>Ms. Kang Ju Hyun</t>
  </si>
  <si>
    <t>do2845@chol.com</t>
  </si>
  <si>
    <t>Validated by RBI until 07/15/2019</t>
  </si>
  <si>
    <t>Im Altgefall 12 D-75181 Pforzheim Germany</t>
  </si>
  <si>
    <t>Fabian Gall</t>
  </si>
  <si>
    <t>FGall@doduco.net</t>
  </si>
  <si>
    <t>60-1 Otarube, Kosaka-machi, Kazuno-gun, Akita 017-0202 Japan</t>
  </si>
  <si>
    <t>Kishu Okuda</t>
  </si>
  <si>
    <t>okudak@dowa.co.jp</t>
  </si>
  <si>
    <t>Recycled, Scrap, from Huckleberry</t>
  </si>
  <si>
    <t xml:space="preserve">Mineral sourcing L1, R/S, Canada </t>
  </si>
  <si>
    <t>CID000410</t>
  </si>
  <si>
    <t>Duoluoshan</t>
  </si>
  <si>
    <t>Sihui City</t>
  </si>
  <si>
    <t>Eco-System Recycling Co., Ltd.</t>
  </si>
  <si>
    <t>1-3-1 Kaigandori Minami Okayama city Okayama Japan 702-8506 / East plan in Saitama (Main plant), the North Plant is in Akita, and the West Plant is in Okayama</t>
  </si>
  <si>
    <t>Mr. Yoshihiko Hoshikawa</t>
  </si>
  <si>
    <t>hoshikay@dowa.co.jp</t>
  </si>
  <si>
    <t>Road Oruro to Cala Cala, km 7.5, Bolivia</t>
  </si>
  <si>
    <t>Marcelo Cespedes</t>
  </si>
  <si>
    <t>marcelo.cespedes@vinto.gob.bo</t>
  </si>
  <si>
    <t>Validated by RBI until 04/13/2019</t>
  </si>
  <si>
    <t>Exotech, Inc., 1851 Blount Road, Pompano Beach, FL 33069 USA</t>
  </si>
  <si>
    <t>Mark Gussak</t>
  </si>
  <si>
    <t>mark@exotech.com</t>
  </si>
  <si>
    <t>Validated by RBI until 02/02/2019</t>
  </si>
  <si>
    <t>Xinhui, Jiangmen, Guangdong, China</t>
  </si>
  <si>
    <t>Mr. Zheng</t>
  </si>
  <si>
    <t>xyz@uil.com.hk</t>
  </si>
  <si>
    <t>Validated by RBI until 01/31/2019</t>
  </si>
  <si>
    <t>Mineral sourcing L1, L3, DRC, R/S, Not disclosed by supplier</t>
  </si>
  <si>
    <t>ul. Strefowa 13, 39-442 Chmielów, Poland</t>
  </si>
  <si>
    <t>Paweł Kupiec (Operations Manager)</t>
  </si>
  <si>
    <t>p.kupiec@fenixmetals.com</t>
  </si>
  <si>
    <t>Validated by RBI until 12/07/2018</t>
  </si>
  <si>
    <t>Novosibirsk Refinery Plant 103 Kirov Street, Novosibirsk 630008 Russia</t>
  </si>
  <si>
    <t>Kirill Guzenkov</t>
  </si>
  <si>
    <t>gkv@nok.ru</t>
  </si>
  <si>
    <t>Validated by LBMA until 04/30/2019</t>
  </si>
  <si>
    <t>NO.1 Jinxin Road, Yanshi Town, Longyan, Fujian, China</t>
  </si>
  <si>
    <t>Fujian</t>
  </si>
  <si>
    <t>Nick</t>
  </si>
  <si>
    <t>nizhihongwork@foxmail.com</t>
  </si>
  <si>
    <t>Gansu</t>
  </si>
  <si>
    <t>Jijie Town</t>
  </si>
  <si>
    <t>Wu Jin</t>
  </si>
  <si>
    <t>wu@gejiumetal.com</t>
  </si>
  <si>
    <t>Validated by RBI until 12/06/2020</t>
  </si>
  <si>
    <t>From Gejiu,Yunnan,Tianshui Longbo</t>
  </si>
  <si>
    <t>1 Hawes St, Towanda, PA 18848, USA
2. Bldg. #2 22 E 7th St, Watsontown, PA, USA</t>
  </si>
  <si>
    <t>Karin Laursen</t>
  </si>
  <si>
    <t>karin.laursen@globaltungsten.com</t>
  </si>
  <si>
    <t>Recycled, Scrap, from Global Tungsten &amp; Powders Corp.</t>
  </si>
  <si>
    <t>Guangdong Zhiyuan New Material Co., Ltd. Qiaotou Town, Yingde City Guangdong Province, China</t>
  </si>
  <si>
    <t>Belinda Huang</t>
  </si>
  <si>
    <t>belindahuang@jycmetal.com</t>
  </si>
  <si>
    <t>Validated by RBI until 05/25/2019</t>
  </si>
  <si>
    <t>Mineral sourcing L1,DRC,R/S, Not disclosed by supplier</t>
  </si>
  <si>
    <t>Shandong</t>
  </si>
  <si>
    <t>Zhejiang</t>
  </si>
  <si>
    <t>98-13, Geonji-ro, Seo-gu, Incheon, Korea</t>
  </si>
  <si>
    <t>Jeong-Rok Kim</t>
  </si>
  <si>
    <t>jrkim@hsmetal.co.kr</t>
  </si>
  <si>
    <t>Validated by RBI until 04/24/2020</t>
  </si>
  <si>
    <t>Dennigstraße 16 – 75179, Pforzheim, Germany</t>
  </si>
  <si>
    <t>Eduard Stefanescu</t>
  </si>
  <si>
    <t>stefanescued@heimerle-meule.com</t>
  </si>
  <si>
    <t>Hong Kong, 香港新界粉嶺安樂村安全街30號賀利氏科技中心</t>
  </si>
  <si>
    <t>Hong Kong</t>
  </si>
  <si>
    <t>Marc Schuetzkowski</t>
  </si>
  <si>
    <t>marc.schuetzkowski@heraeus.com</t>
  </si>
  <si>
    <t>Validated by LBMA / RJC until 11/23/2018</t>
  </si>
  <si>
    <t>Recycled or scrap,  Phillipines, Thailand, Laos</t>
  </si>
  <si>
    <t>Hanau, Hesse, Germany</t>
  </si>
  <si>
    <t>Validated by CFSI until 22.04.2017</t>
  </si>
  <si>
    <t>Recycled, scrap</t>
  </si>
  <si>
    <t>CID000731</t>
  </si>
  <si>
    <t>Hi-Temp Specialty Metals, Inc.</t>
  </si>
  <si>
    <t>Yaphank</t>
  </si>
  <si>
    <t xml:space="preserve">Some are recycled, scrap, cover countries or DRC sourced but not all. </t>
  </si>
  <si>
    <t>Huichang County, Jiangxi Ganzhou</t>
  </si>
  <si>
    <t>Mr. Xie Jinja; Wennie Wen</t>
  </si>
  <si>
    <t>353192154@qq.com (Mr. Xie Jinja); hcjsdxy@163.com (Wennie Wen)</t>
  </si>
  <si>
    <t>Validated by RBI until 06/26/2019</t>
  </si>
  <si>
    <t>Guanzhuang Town, Yuanling, Hunan, China</t>
  </si>
  <si>
    <t>Liu Xinyi</t>
  </si>
  <si>
    <t>zjzx@hncmi.com</t>
  </si>
  <si>
    <t>None, CFS Certified</t>
  </si>
  <si>
    <t>Yuanwuwei Road, Saihan District, Hohhot City, Inner Mongolia, Autonomous Region, China</t>
  </si>
  <si>
    <t>Nei Mongol</t>
  </si>
  <si>
    <t>2274801749@qq.com</t>
  </si>
  <si>
    <t>Validated by LBMA until 04/01/2019</t>
  </si>
  <si>
    <t>Soka, Saitama, Japan</t>
  </si>
  <si>
    <t>Tatsuto Nagata (Director)</t>
  </si>
  <si>
    <t>shizai@ifk.co.jp</t>
  </si>
  <si>
    <t>Recycled</t>
  </si>
  <si>
    <t>Kuyumcukent, Istanbul, Turkey</t>
  </si>
  <si>
    <t>Cigdem Bostan</t>
  </si>
  <si>
    <t>cbostan@mygoldgram.com</t>
  </si>
  <si>
    <t>Validated by LBMA until 01/04/2018</t>
  </si>
  <si>
    <t>Osaka, Kansai, Japan</t>
  </si>
  <si>
    <t>pub@mint.go.jp</t>
  </si>
  <si>
    <t>1-6-64 Sennari-cho Toyonaka, Osaka 561-0829 Japan</t>
  </si>
  <si>
    <t>Mr. Akira Kawaguchi</t>
  </si>
  <si>
    <t>akawaguc@jnm.co.jp</t>
  </si>
  <si>
    <t>Validated by RBI until 12/07/2020</t>
  </si>
  <si>
    <t>Mineral sourcing L1, R/S, not disclosed by supplier</t>
  </si>
  <si>
    <t>Yejin Avenue, Guixi City, Jiangxi</t>
  </si>
  <si>
    <t>Mr. Zhang</t>
  </si>
  <si>
    <t>master@jxcn.cn</t>
  </si>
  <si>
    <t>NO.58 MAFANGXIA GANZHOU JIANGXI CHINA</t>
  </si>
  <si>
    <t>LI QI MEI</t>
  </si>
  <si>
    <t>dept1@sino-tungsten.com</t>
  </si>
  <si>
    <t>Validated by RBI until 02/17/2020</t>
  </si>
  <si>
    <t>From Jiangxi Dajichan Tungsten Industry Ltd, Ganzhou</t>
  </si>
  <si>
    <t>226# BinJiang East Road, Jiujiang City, JiangXi Province, China</t>
  </si>
  <si>
    <t>Janny</t>
  </si>
  <si>
    <t>janny@jiujiangjx.com</t>
  </si>
  <si>
    <t>Mineral sourcing L1,L3,DRC, not disclosed by supplier</t>
  </si>
  <si>
    <t>No. 62, Jiuhu Road, Jiujiang City, Jiangxi 
Province, China, P.C: 332014</t>
  </si>
  <si>
    <t>Ms. Lynn Chan</t>
  </si>
  <si>
    <t>import@jjtanbre.com.cn</t>
  </si>
  <si>
    <t>Validated by RBI until 11/24/2018</t>
  </si>
  <si>
    <t>Mineral sourcing L1, L2, L3, DRC, R/S, not disclosed by supplier</t>
  </si>
  <si>
    <t>Salt Lake City, Utah</t>
  </si>
  <si>
    <t>David Dorris</t>
  </si>
  <si>
    <t>david.dorris@asahirefining.com</t>
  </si>
  <si>
    <t>Validated by LBMA until 08/23/2018</t>
  </si>
  <si>
    <t>Mineral sourcing R/S, Not disclosed by LBMA</t>
  </si>
  <si>
    <t>Brampton, Ontario, Canada</t>
  </si>
  <si>
    <t>1, Lenin Str., Verkhnaya Pyshma, Sverdlovsk region, 624091</t>
  </si>
  <si>
    <t>aouralem@elem.ru</t>
  </si>
  <si>
    <t>Validated by LBMA until 03/31/2018</t>
  </si>
  <si>
    <t>Saganoseki, Kitaamabe District, Ōita Prefecture, Japan</t>
  </si>
  <si>
    <t>Ryosuke Tawara</t>
  </si>
  <si>
    <t>r_tawara@ppcu.co.jp</t>
  </si>
  <si>
    <t>Recycled, Scrap and mines, from Cadia, Los Pelambres Mine,Caserones</t>
  </si>
  <si>
    <t>Mineral sourcing R/S, Australia,Chile</t>
  </si>
  <si>
    <t>Ba Bao Shu Industry Park, Zha Dian Town, Gejiu City, Honghe, Yunnan Province</t>
  </si>
  <si>
    <t>Kou Jingjing</t>
  </si>
  <si>
    <t>1553724507@qq.com</t>
  </si>
  <si>
    <t>Validated by RBI until 02/06/2019</t>
  </si>
  <si>
    <t>Mineral sourcing L1, not disclosed by supplier</t>
  </si>
  <si>
    <t>Ust-Kamenogorsk, Kazakhstan</t>
  </si>
  <si>
    <t>kazzinc@kazzinc.com</t>
  </si>
  <si>
    <t>Fallon, NV</t>
  </si>
  <si>
    <t>Magna, Utah, USA</t>
  </si>
  <si>
    <t>Bill Adams</t>
  </si>
  <si>
    <t>william.adams@riotinto.com</t>
  </si>
  <si>
    <t>Not disclosed per RJC</t>
  </si>
  <si>
    <t>337-26 Kashiwabara, Sayama City, Saitama Prefecture, 350-1335 Japan</t>
  </si>
  <si>
    <t>Ms. Maiko Kobayashi</t>
  </si>
  <si>
    <t>maiko.kobayashi@kojima-c.co.jp</t>
  </si>
  <si>
    <t>Validated by RBI until 06/29/2020</t>
  </si>
  <si>
    <t>195, Abdymomunova Str., Bishkek city, Postal code: 720040, The Kyrgyz Republic (KYRGYZSTAN)</t>
  </si>
  <si>
    <t>Aliya Sultanova</t>
  </si>
  <si>
    <t>sultanova@kyrgyzaltyn.kg</t>
  </si>
  <si>
    <t>Henan</t>
  </si>
  <si>
    <t>Henan Industry Zone, Xinbin District, Laibin City, GuangXi Province, China</t>
  </si>
  <si>
    <t>Liu Bing</t>
  </si>
  <si>
    <t>ice8417733@163.com</t>
  </si>
  <si>
    <t>Validated by RBI until 04/17/2019</t>
  </si>
  <si>
    <t>From Liuzhou,Laibin,Guangxi</t>
  </si>
  <si>
    <t>Rodovia BR 383 Km 94, Sao Joao Del Rei, Minas Gerais, Brasil</t>
  </si>
  <si>
    <t>Paulo Fernandes</t>
  </si>
  <si>
    <t>paulo.fernandes@amg-br.com</t>
  </si>
  <si>
    <t>Validated by RBI until 03/29/2019</t>
  </si>
  <si>
    <t>Onsan, Republic of Korea</t>
  </si>
  <si>
    <t>Jeong Hoon Shin</t>
  </si>
  <si>
    <t>jhshin@lsnikko.com</t>
  </si>
  <si>
    <t>From Escondida, Andia, Cuquicamata,Vale</t>
  </si>
  <si>
    <t>From Chile, Brazil</t>
  </si>
  <si>
    <t>12 Jalan Pantai, 12000 Butterworth, Penang, Malaysia</t>
  </si>
  <si>
    <t>Raveentiran Krishnan</t>
  </si>
  <si>
    <t>raveentiran@msmelt.com</t>
  </si>
  <si>
    <t>Validated by RBI until 05/11/2019</t>
  </si>
  <si>
    <t>From Minsur Mining,Rahman Hydraulic Tin Sdn. Bhd.</t>
  </si>
  <si>
    <t>Mineral sourcing L1, L3, DRC, R/S, Peru,Malaysia</t>
  </si>
  <si>
    <t>2978 Main Street, Buffalo NY 14214</t>
  </si>
  <si>
    <t>Tim Pelletier</t>
  </si>
  <si>
    <t>Timothy.Pelletier@materion.com</t>
  </si>
  <si>
    <t>Validated by RBI until 06/06/2019</t>
  </si>
  <si>
    <t>Iruma, Saitama, Japan</t>
  </si>
  <si>
    <t>Mr. Takashi Yamanoi</t>
  </si>
  <si>
    <t>yamanoi-t@matsuda-sangyo.co.jp; hinshou@matsuda-sangyo.co.jp</t>
  </si>
  <si>
    <t>2368 East Enterprise Parkway, Twinsburg, OH 44087</t>
  </si>
  <si>
    <t>Eric Ozan</t>
  </si>
  <si>
    <t>EOZAN@metallicresources.com</t>
  </si>
  <si>
    <t>Building B, 48 Dongfu Road, Suzhou Industrial Park, Jiangsu Province, P.R. China 215123</t>
  </si>
  <si>
    <t>Jiangsu</t>
  </si>
  <si>
    <t>Mr. Xiaodong Li</t>
  </si>
  <si>
    <t>xiaodong.li@metalor.com</t>
  </si>
  <si>
    <t>Validated by RJC until 11/09/2019</t>
  </si>
  <si>
    <t>Mineral sourcing not disclosed per RJC, Shanghai</t>
  </si>
  <si>
    <t>Kwai Chung, Hong Kong</t>
  </si>
  <si>
    <t>Larry Drummond</t>
  </si>
  <si>
    <t>Larry.Drummond@metalor.com</t>
  </si>
  <si>
    <t>Validated by LBMA / RJC until 04/21/2021</t>
  </si>
  <si>
    <t>Recycled, Scrap and mines, from congagold ore</t>
  </si>
  <si>
    <t>Mineral sourcing L1, R/S, Peru,China</t>
  </si>
  <si>
    <t>Singapore City, Singapore</t>
  </si>
  <si>
    <t>Validated by LBMA / RJC until 11/27/2019</t>
  </si>
  <si>
    <t>Mineral sourcing L1, R/S, Peru</t>
  </si>
  <si>
    <t>Marin, Neuchâtel, Switzerland</t>
  </si>
  <si>
    <t>Marco Pisino</t>
  </si>
  <si>
    <t>marco.pisino@metalor.com</t>
  </si>
  <si>
    <t>Validated by LBMA / RJC until 04/02/2021</t>
  </si>
  <si>
    <t>Mineral sourcing R/S, Indonesia</t>
  </si>
  <si>
    <t>North Attleboro, Massachusetts, USA</t>
  </si>
  <si>
    <t>Validated by LBMA / RJC until 03/26/2021</t>
  </si>
  <si>
    <t>Torreon, Coahuila, Mexico</t>
  </si>
  <si>
    <t>Celia Ortega</t>
  </si>
  <si>
    <t>Celia_Ortega@penoles.com.mx</t>
  </si>
  <si>
    <t>Validated by LBMA until 05/08/2019</t>
  </si>
  <si>
    <t>Mettalurgical Product India Pvt. Ltd. T-27 MIDC Taloja Industiral Area District Raigad, Maharashtra, India</t>
  </si>
  <si>
    <t>Mr. Mathur Pranav</t>
  </si>
  <si>
    <t>pm@mpil.co.in</t>
  </si>
  <si>
    <t>Mineral sourcing L1,L2,R/S, Not disclosed by supplier</t>
  </si>
  <si>
    <t>Estrada dos Romeiros, Km 49, Bairro Guarapiranga, Pirapora do Bom Jesus City, São Paulo State, Brazil</t>
  </si>
  <si>
    <t>Ms. Luciana Miranda Pagnoncelli (Commercial Manager)</t>
  </si>
  <si>
    <t>lpagnoncelli@mtaboca.com.br</t>
  </si>
  <si>
    <t>From Minerarco Pitinga</t>
  </si>
  <si>
    <t>Mineral sourcing L1, Brazil</t>
  </si>
  <si>
    <t>Vila Pitinga s/n, Zona Rural, Presidente Figueiredo, Brazil</t>
  </si>
  <si>
    <t>Validated by RBI until 04/24/2021</t>
  </si>
  <si>
    <t>Panamericana Highway, Km 238, Pisco-Ica, Perú</t>
  </si>
  <si>
    <t>Mr. Jose Ore Rivera</t>
  </si>
  <si>
    <t>Jose.Ore@minsur.com</t>
  </si>
  <si>
    <t>Recycled, Scrap and mines, from San Rafel Mine, Peru</t>
  </si>
  <si>
    <t>Mineral sourcing L1,R/S, Peru</t>
  </si>
  <si>
    <t>Naoshima, Kagaya, Japan</t>
  </si>
  <si>
    <t>Mr. Tadakazu Kagami</t>
  </si>
  <si>
    <t>tkagami@mmc.co.jp</t>
  </si>
  <si>
    <t>Recycled, Scrap and mines, from Huckleberry Mine
Copper Mountain Mine
Escondida Mine
Los Pelambres Mine
Batu Hijau Mine</t>
  </si>
  <si>
    <t>Canada,Chile,Indonesia</t>
  </si>
  <si>
    <t>985-1, Kuchiganaya, Ikuno-cho, Asago-city, Hyogo Pref. 679-3301 JAPAN</t>
  </si>
  <si>
    <t>Validated by RBI until 04/25/2021</t>
  </si>
  <si>
    <t>Takehara, Hiroshima, Japan</t>
  </si>
  <si>
    <t>d_nakayama@mitsui-kinzoku.co.jp</t>
  </si>
  <si>
    <t>Recycled, Scrap and mines, from Cadia Hill</t>
  </si>
  <si>
    <t>Mineral sourcing R/S, Australia</t>
  </si>
  <si>
    <t>Molycorp Silmet AS, Kesk 2, Sillamäe, Estonia</t>
  </si>
  <si>
    <t>Julia Ignatova</t>
  </si>
  <si>
    <t>j.ignatova@neomaterials.com</t>
  </si>
  <si>
    <t>Mineral sourcing L1,R/S, not disclosed by supplier</t>
  </si>
  <si>
    <t>The Moscow Special Alloys Processing Plant, 31 Ul. Obrucheva, Moscow 117246, Russia</t>
  </si>
  <si>
    <t>lotdel@mzss.ru</t>
  </si>
  <si>
    <t>Validated by LBMA until 04/13/2019</t>
  </si>
  <si>
    <t>Bahçelievler, Istanbul, Turkey</t>
  </si>
  <si>
    <t>Esat Caliskan</t>
  </si>
  <si>
    <t>esat.caliskan@nadirmetal.com.tr</t>
  </si>
  <si>
    <t>Nan Kang Industrial Park, Ganzhou, Jiangxi Province, China, 341413</t>
  </si>
  <si>
    <t>Mr. Huang Xueyou (President)</t>
  </si>
  <si>
    <t>chinatin@163.com</t>
  </si>
  <si>
    <t>Validated by RBI until 11/17/2018</t>
  </si>
  <si>
    <t>Noda Factory,  19-2 Hayama Nodi-si Chiba-ken, Japan</t>
  </si>
  <si>
    <t>Mr. Nobutake Morita</t>
  </si>
  <si>
    <t>n.morita@material.co.jp</t>
  </si>
  <si>
    <t>Validated by LBMA until 05/12/2018</t>
  </si>
  <si>
    <t>Ningxia Orient Tantalum Industry Co. Ltd., No. 119 Yejin Road, Dawukou District, Shizuishan City, 753000 Ningxia, China</t>
  </si>
  <si>
    <t>Ningxia</t>
  </si>
  <si>
    <t>Mr. Chen Wu</t>
  </si>
  <si>
    <t>chenw_nniec@otic.com.cn</t>
  </si>
  <si>
    <t>Recycled, Scrap and mines, from CIF, Kenticha, Nanping, Yichun, Scrap, Scrap</t>
  </si>
  <si>
    <t>Mineral sourcing L1,L3,DRC,R/S, Brazil, Ethiopia</t>
  </si>
  <si>
    <t>Pinthong Industrial Estate, 789/101 Moo 1, Nongkoh-Laemchabang Road, Nongkham, Sriracha, Chonburi 20230, Thailand</t>
  </si>
  <si>
    <t>Mr. Arnel Sapinoso Rana</t>
  </si>
  <si>
    <t>arana@omthai.co.th</t>
  </si>
  <si>
    <t>Validated by RBI until 05/04/2019</t>
  </si>
  <si>
    <t>CID001322</t>
  </si>
  <si>
    <t>Elemetal Refining, LLC</t>
  </si>
  <si>
    <t>Jackson</t>
  </si>
  <si>
    <t>284 Nishinokyo-cho Nara-shi Nara Japan</t>
  </si>
  <si>
    <t>Mr. Ken Onomura</t>
  </si>
  <si>
    <t>oura@skyblue.ocn.ne.jp</t>
  </si>
  <si>
    <t>Validated by RBI until 03/11/2019</t>
  </si>
  <si>
    <t>Krasnoyarsk, Russian Federation</t>
  </si>
  <si>
    <t>Svetlana Chetverikova</t>
  </si>
  <si>
    <t>SChetverikova@krastsvetmet.ru</t>
  </si>
  <si>
    <t>Operaciones Metalurgical S.A.</t>
  </si>
  <si>
    <t>Operaciones Metalúrgicas SA Km. 3.5 Carretera a Capachos, Zona Industrial Huajara, Oruro, Bolivia</t>
  </si>
  <si>
    <t>Mariano Pero (General Manager)</t>
  </si>
  <si>
    <t>mpero@omsabo.com</t>
  </si>
  <si>
    <t>From Bolivia  State owned &amp; Private Mines</t>
  </si>
  <si>
    <t>Mineral sourcing L1, R/S, Bolivia</t>
  </si>
  <si>
    <t>Castel San Pietro, Ticino, Switzerland</t>
  </si>
  <si>
    <t>Oliver Demierre</t>
  </si>
  <si>
    <t>olivier@mks.ch</t>
  </si>
  <si>
    <t>Validated by LBMA until 03/14/2018</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</si>
  <si>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</si>
  <si>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</si>
  <si>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</si>
  <si>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</si>
  <si>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</si>
  <si>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</si>
  <si>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Validated by LBMA until 03/16/2019</t>
  </si>
  <si>
    <t>Jl. TPA Lingkungan Kenanga Permai Kelurahan Kenanga, Kecamatan Sungailiat, Kabupaten Bangka, Propinsi Kepulauan Kepulauan Bangka Belitung</t>
  </si>
  <si>
    <t>Isa Suhardiman</t>
  </si>
  <si>
    <t>isa.suhardiman@gmail.com</t>
  </si>
  <si>
    <t>Validated by RBI until 02/10/2019</t>
  </si>
  <si>
    <t>CID001402</t>
  </si>
  <si>
    <t>PT Babel Inti Perkasa</t>
  </si>
  <si>
    <t>Jl. Tengah Dusun Lintang RT.01/RW.01 Desa Lintang East Belitung, Kepulauan Bangka Belitung Province</t>
  </si>
  <si>
    <t>Lintang</t>
  </si>
  <si>
    <t>Mrs. Rosalinda Dwijayanti</t>
  </si>
  <si>
    <t>imli_mrktg@indoprima-group.co.id</t>
  </si>
  <si>
    <t>CID001419</t>
  </si>
  <si>
    <t>PT Bangka Tin Industry</t>
  </si>
  <si>
    <t>Kawasan Industri Jelitik Sungailiat, Kepulauan Bangka Belitung Province</t>
  </si>
  <si>
    <t>Mr. Eri Irwanto</t>
  </si>
  <si>
    <t>eri.irwanto@gmail.com</t>
  </si>
  <si>
    <t>Validated by RBI until 10/31/2018</t>
  </si>
  <si>
    <t>From BANGAKA TIN</t>
  </si>
  <si>
    <t>CID001421</t>
  </si>
  <si>
    <t>PT Belitung Industri Sejahtera</t>
  </si>
  <si>
    <t>Dusun Gunung Tiong, RT.07/RW.03, Desa Pegantungan, Kec. Badau, West Belitung, Kepulauan Bangka Belitung Province</t>
  </si>
  <si>
    <t>Pegantungan</t>
  </si>
  <si>
    <t>Janli Kaparman</t>
  </si>
  <si>
    <t>janli.kaparman@gmail.com</t>
  </si>
  <si>
    <t>Validated by RBI until 09/16/2019</t>
  </si>
  <si>
    <t>CID001428</t>
  </si>
  <si>
    <t>PT Bukit Timah</t>
  </si>
  <si>
    <t>Jalan Ketapang Kawasan Industri, Pangkalpinang 33111, Kepulauan Bangka Belitung, Indonesia</t>
  </si>
  <si>
    <t>Rosalinda Dwijayanti</t>
  </si>
  <si>
    <t>linda@imligroup.com</t>
  </si>
  <si>
    <t>Validated by RBI until 01/25/2021</t>
  </si>
  <si>
    <t>CID001434</t>
  </si>
  <si>
    <t>PT DS Jaya Abadi</t>
  </si>
  <si>
    <t>Jl. Ketapang Kawasan Industri, Kelurahan Air Itam Kecamatan Bukit Intan Pangkal Pinang - Kepulauan Bangka Belitung</t>
  </si>
  <si>
    <t>Mr. Hardi Salim</t>
  </si>
  <si>
    <t>aheuwnee@gmail.com, Aheuw@dsja-tin.com</t>
  </si>
  <si>
    <t>Validated by RBI until 11/27/2018</t>
  </si>
  <si>
    <t>CID001438</t>
  </si>
  <si>
    <t>PT Eunindo Usaha Mandiri</t>
  </si>
  <si>
    <t>Jl. Raja Haji Fisabililliah (formerly Jl. Pantai Pelawan) RT. 03 RW. 03, Desa Pangke, Kecamatan Meral, Kabupaten Karimun, Propinsi Kepulauan Riau</t>
  </si>
  <si>
    <t>Karimun</t>
  </si>
  <si>
    <t>Elin Ling</t>
  </si>
  <si>
    <t>elinling.49@gmail.com, elin@eunindo.com</t>
  </si>
  <si>
    <t>Validated by RBI until 01/06/2019</t>
  </si>
  <si>
    <t>From Kepulauan Riau, Riau Islands</t>
  </si>
  <si>
    <t>CID001448</t>
  </si>
  <si>
    <t>PT Karimun Mining</t>
  </si>
  <si>
    <t>Jl. Raja Haji Fisabillah, Pangke, Meral Tanjung Balai Karimun Riau Province 29161</t>
  </si>
  <si>
    <t>Ms. Nuriza</t>
  </si>
  <si>
    <t>sofkm8@gmail.com</t>
  </si>
  <si>
    <t>Validated by RBI until 02/09/2019</t>
  </si>
  <si>
    <t>Komplek Industri dan Pelabuhan Air Kantung, Jelitik Kecamatan Sungailiat, Kabupaten Bangka, Propinsi Kepulauan Bangka Belitung</t>
  </si>
  <si>
    <t>Mr. Muhammed Fitriansyah</t>
  </si>
  <si>
    <t>mfitriansyah@gmail.com</t>
  </si>
  <si>
    <t>Validated by RBI until 04/20/2019</t>
  </si>
  <si>
    <t>From Blok Mapur-Cit, Blok Bemban Utara, Blok Kepuh Utara</t>
  </si>
  <si>
    <t>Mineral sourcing L1,  Kab. Bangka Tengah, Indonesia</t>
  </si>
  <si>
    <t>CID001457</t>
  </si>
  <si>
    <t>PT Panca Mega Persada</t>
  </si>
  <si>
    <t>Jl. Jelitik Raya No. 1A, Sungailiat, Bangka Kepulauan Kepulauan Bangka Belitung, Indonesia</t>
  </si>
  <si>
    <t>Janliman S. Sembiring</t>
  </si>
  <si>
    <t>janliman@fongsgroup.com; janli.kaparman@gmail.com</t>
  </si>
  <si>
    <t>Validated by RBI until 06/07/2020</t>
  </si>
  <si>
    <t>CID001458</t>
  </si>
  <si>
    <t>PT Prima Timah Utama</t>
  </si>
  <si>
    <t>Jl. Ketapang RT.19/12 Kel. Air Itam Kec. Bukit Intan Pangkal Pinang Provinsi Kepulauan Kepulauan Bangka Belitung</t>
  </si>
  <si>
    <t>Santi</t>
  </si>
  <si>
    <t>primatimah@yahoo.com</t>
  </si>
  <si>
    <t>Validated by RBI until 02/17/2019</t>
  </si>
  <si>
    <t>Jl. Kawasan Industri Jelitik, Kec. Sungailiat, Kab., Bangka, Provinsi Kepulauan, Kepulauan Bangka Belitung , Indonesia</t>
  </si>
  <si>
    <t>Andy Antofat</t>
  </si>
  <si>
    <t>andy.antofat@dominiontin.com</t>
  </si>
  <si>
    <t>CID001463</t>
  </si>
  <si>
    <t>PT Sariwiguna Binasentosa</t>
  </si>
  <si>
    <t>Kawasan Industri Ketapang, JL Ketapang Raya, Kelurahan Air Mawar, Kecamatan Bukit Intan, Kota Pangkal Pinang, Kepulauan Kepulauan Bangka Belitung</t>
  </si>
  <si>
    <t>Juan Setiadi</t>
  </si>
  <si>
    <t>juan_setiadi@yahoo.co.uk</t>
  </si>
  <si>
    <t>Validated by RBI until 01/05/2019</t>
  </si>
  <si>
    <t>From TIN ORE from mining concession in Bangka Belitung Province</t>
  </si>
  <si>
    <t>CID001468</t>
  </si>
  <si>
    <t>PT Stanindo Inti Perkasa</t>
  </si>
  <si>
    <t>Ketapang Kawasan Industri, Kecamatan Bukit Intan, Pangakal Pinang - Bangka 33116, Indonesia</t>
  </si>
  <si>
    <t>Rebyanti</t>
  </si>
  <si>
    <t>rebiyanti@yahoo.com</t>
  </si>
  <si>
    <t>Validated by RBI until 03/16/2021</t>
  </si>
  <si>
    <t>From Pangkal Pinnang, Bangka</t>
  </si>
  <si>
    <t>CID001471</t>
  </si>
  <si>
    <t>PT Sumber Jaya Indah</t>
  </si>
  <si>
    <t>Jalan TPI Ketapang, Temberan - Bukit Intan, Pangkalpinang Kepulauan Bangka Belitung Province</t>
  </si>
  <si>
    <t>Mr. Sendy Pranata (Owner)</t>
  </si>
  <si>
    <t>sumberjayaindah@gmail.com</t>
  </si>
  <si>
    <t>Validated by RBI until 10/20/2019</t>
  </si>
  <si>
    <t>PT Timah (Persero) Tbk Kundur</t>
  </si>
  <si>
    <t>Hang Tuah Road No. 4 Prayun, Tanjung Balai Karimun regional,Kepulauan Riau Province</t>
  </si>
  <si>
    <t>Ahmad Fajri Akhinov</t>
  </si>
  <si>
    <t>ahmad.fajri@pttimah.co.id</t>
  </si>
  <si>
    <t>From Karimun,Kundur,Singka,Bangka,Belitung</t>
  </si>
  <si>
    <t>PT Timah (Persero) Tbk Mentok</t>
  </si>
  <si>
    <t>Jln. Denderal sudirman No.51</t>
  </si>
  <si>
    <t>Kantor Pusat</t>
  </si>
  <si>
    <t>timah@pttimah.co.id</t>
  </si>
  <si>
    <t>PT TIMAH (Persero) Tbk</t>
  </si>
  <si>
    <t>Indonesia</t>
  </si>
  <si>
    <t>CID001490</t>
  </si>
  <si>
    <t>PT Tinindo Inter Nusa</t>
  </si>
  <si>
    <t>Jl. A Yani No. 46 Pangkalpinang, Kepulauan Bangka Belitung Province</t>
  </si>
  <si>
    <t>Edison Silalahi</t>
  </si>
  <si>
    <t>edisonrs@yahoo.com</t>
  </si>
  <si>
    <t>Validated by RBI until 12/17/2018</t>
  </si>
  <si>
    <t xml:space="preserve">From PT. Tinindo Inter Nusa,  Own concession </t>
  </si>
  <si>
    <t>Mineral sourcing L1, Bangka Island, Bangka Nelitung Province</t>
  </si>
  <si>
    <t>CID001493</t>
  </si>
  <si>
    <t>PT Tommy Utama</t>
  </si>
  <si>
    <t>Jl. Buje, RT X, Dsn Sumping, Desa Batu Penyu,</t>
  </si>
  <si>
    <t>Sumping Desa Batu Peyu</t>
  </si>
  <si>
    <t>Jopie Kawan</t>
  </si>
  <si>
    <t>agusjopiegunawan1688@gmail.com</t>
  </si>
  <si>
    <t>Validated by RBI until 12/07/2019</t>
  </si>
  <si>
    <t>La Chaux-de-Fonds, Switzerland</t>
  </si>
  <si>
    <t>Jerome Tirmarche</t>
  </si>
  <si>
    <t>jerome.tirmarche@pxgroup.com</t>
  </si>
  <si>
    <t>2501 Camp Avenue, Carrollton, TX 75006 USA</t>
  </si>
  <si>
    <t>Fremont</t>
  </si>
  <si>
    <t>Tim Burrows</t>
  </si>
  <si>
    <t>Tim.Burrows@quantumclean.com</t>
  </si>
  <si>
    <t>Validated by RBI until 01/15/2019</t>
  </si>
  <si>
    <t>Germiston, South Africa</t>
  </si>
  <si>
    <t>Chris Horsley</t>
  </si>
  <si>
    <t>chrish@gold.co.za</t>
  </si>
  <si>
    <t>Validated by LBMA until 10/02/2018</t>
  </si>
  <si>
    <t>RFH Tantalum Smeltery Co., Ltd./Yanling Jincheng Tantalum &amp; Niobium Co., Ltd.</t>
  </si>
  <si>
    <t>RFH Tantalum Smeltery Co., Ltd (RFH), The Medium &amp; Small Enterprises Development Area, Yanling County, Zhuzhou, Hunan, China</t>
  </si>
  <si>
    <t>Mr. Liu Ming</t>
  </si>
  <si>
    <t>liu_ming@richwinchina.com</t>
  </si>
  <si>
    <t>Validated by RBI until 05/31/2019</t>
  </si>
  <si>
    <t>Ottawa, Canada</t>
  </si>
  <si>
    <t>Ms. Amanda Bartleman</t>
  </si>
  <si>
    <t>bartleman@mint.ca</t>
  </si>
  <si>
    <t>Mineral sourcing L1, R/S, Canada, Suriname, Guyana</t>
  </si>
  <si>
    <t>No. 1-1, Lane 139, Gong 5th Rd., Lin 39, Wulin Village, 
Longtan Shiang Taoyuang, Taiwan</t>
  </si>
  <si>
    <t>Ariel</t>
  </si>
  <si>
    <t>rdh_49@rdh.com.tw</t>
  </si>
  <si>
    <t>19B-3L Namdong Industrial Complex, Nonhyeon-dong, Incheon, Korea (facility location).  43 Hambangmoe-ro 318beon-gil, Namdong-Gu, Incheon, Korea</t>
  </si>
  <si>
    <t>Gi-Hyun Kang (President)</t>
  </si>
  <si>
    <t>Kena01@hanmail.net</t>
  </si>
  <si>
    <t>Validated by RBI until 03/08/2019</t>
  </si>
  <si>
    <t>CID001573</t>
  </si>
  <si>
    <t>Schone Edelmetaal B.V.</t>
  </si>
  <si>
    <t>Amsterdam</t>
  </si>
  <si>
    <t>Madrid, Spain</t>
  </si>
  <si>
    <t>Julian Sarda</t>
  </si>
  <si>
    <t>jsarda@sempsajp.com</t>
  </si>
  <si>
    <t>Validated by LBMA until 04/05/2018</t>
  </si>
  <si>
    <t>Zhaoyuan City</t>
  </si>
  <si>
    <t>Cai Jiansheng 蔡建生</t>
  </si>
  <si>
    <t>zhaojinjinglian@zhaojin.cn (Cai Jiansheng), ytszjx@163@.com, zjky@zhaojin.com.cn</t>
  </si>
  <si>
    <t>From Jinchiling  Gold Mine,Kantfort,Roshan gold,Zhaoyuan gold wing ridge gold mine</t>
  </si>
  <si>
    <t>13#，SMES PARK,LONG TAN DU SHI ENDUSTRY CONCENTRATIVEDEVELOPMENT ZONE, THE 2ND SECTION OF THE 3RD RING ROAD, CHENGDU</t>
  </si>
  <si>
    <t>Sichuan</t>
  </si>
  <si>
    <t>Chen Liyang</t>
  </si>
  <si>
    <t>service@tianzegold.com</t>
  </si>
  <si>
    <t>CID001754</t>
  </si>
  <si>
    <t>So Accurate Group, Inc.</t>
  </si>
  <si>
    <t>Long Island City</t>
  </si>
  <si>
    <t>Shyolkovo, Russia</t>
  </si>
  <si>
    <t>info@zavodvdm.ru</t>
  </si>
  <si>
    <t>Av. Joao Ferreira Penna, 281 Distrito industrial III,  CEP 14707-202 Bebedouro, Sao Paulo, Brazil</t>
  </si>
  <si>
    <t>Paulo Toledo</t>
  </si>
  <si>
    <t>paulotoledo@softmetais.com.br</t>
  </si>
  <si>
    <t>Validated by RBI until 03/16/2019</t>
  </si>
  <si>
    <t>No. 16, Gong 1st Rd., Liuying District, Tainan City, 73659 Taiwan</t>
  </si>
  <si>
    <t>Ms. Claire Lin; Ava Hsieh</t>
  </si>
  <si>
    <t>claire.lin@solartech.com.tw; avahsieh@solartech.com.tw</t>
  </si>
  <si>
    <t>Validated by LBMA until 04/18/2019</t>
  </si>
  <si>
    <t xml:space="preserve">Recycled </t>
  </si>
  <si>
    <t>Mineral sourcing R/S, Taiwan, HK.</t>
  </si>
  <si>
    <t>Toyo, Saijo, Japan</t>
  </si>
  <si>
    <t>Akira Nozaki; Seiji Kaneko</t>
  </si>
  <si>
    <t>Funsokobutsu_Kin_Kinzoku@ni.smm.co.jp (Akira Nozaki); seiji_kaneko@ni.smm.co.jp (Seiji Kaneko)</t>
  </si>
  <si>
    <t>Recycled, Scrap and mines, from Pogo Mine
Morenci Mine
Candelaria Mine
Cerro Verde Mine
Ojos del Salado Copper Mine
Batu Hijau Mine
Northparkes Mine
Hishikari Mine</t>
  </si>
  <si>
    <t xml:space="preserve">
United States,Chile,Peru,Indonesia,Australia,Japan</t>
  </si>
  <si>
    <t>Taki Chemical Co. Ltd., 346, Miyanishi, Harima-Cho, Kako-gun, Hyogo-ken, 675-0145, Japan</t>
  </si>
  <si>
    <t>Mr. Yukihiko Yoshimi</t>
  </si>
  <si>
    <t>yoshimi@takichem.co.jp</t>
  </si>
  <si>
    <t>Mineral sourcing L1,L3,R/S, Not disclosed by supplier</t>
  </si>
  <si>
    <t>Hiratsuka, Japan</t>
  </si>
  <si>
    <t>Ken Oka</t>
  </si>
  <si>
    <t>k-oka@ml.tanaka.co.jp</t>
  </si>
  <si>
    <t>Cailan Industrial Zone, Halong City, Quang Ninh, Vietnam</t>
  </si>
  <si>
    <t>Ms. Giang (Phone: 011-84-901-62-0381)</t>
  </si>
  <si>
    <t>tjvn.giang@tejingtungsten.com</t>
  </si>
  <si>
    <t>Mineral sourcing L1,R/S, Not disclosed by supplier</t>
  </si>
  <si>
    <t>Telex Metals LLC, 105/115 Phyllis Drive, Croyden, PA 19021 USA</t>
  </si>
  <si>
    <t>Mr. Jim Maguire (General Manager)</t>
  </si>
  <si>
    <t>jim@telexmetals.com</t>
  </si>
  <si>
    <t>Thailand</t>
  </si>
  <si>
    <t>Thailand Smelting and Refining Co. Ltd.
80 Moo 8, Sakdidej Road, T. Vichit, A. Muang, 
Phuket 83000, THAILAND</t>
  </si>
  <si>
    <t>Mr. Warit Choovaree (Commercial Supply &amp; Purchasing Manager)</t>
  </si>
  <si>
    <t>warit@thaisarco.com</t>
  </si>
  <si>
    <t>Validated by RBI until 12/08/2018</t>
  </si>
  <si>
    <t>From Bluestone Mine Tasmania (Australia), Kalonta Mine in Dawei (Myanmar), Heinda Mine in Dawei (Myanmar), Panasqueira (Portugal), PT Sumber Jaya Indah, DRC and adjoined countries</t>
  </si>
  <si>
    <t>Mineral sourcing L1,L3, DRC, R/S, South America,South East Asia countries, Level 3 countries i.e. DRC and adjoined countries (including the Democratic Republic of the Congo (DRC), Rwanda, Uganda and Burundi</t>
  </si>
  <si>
    <t>云南省个旧市中山路73-1号2幢301室, 301, Building 2, 73-1, Zhongshan Road, Gejiu, Yunnan, China</t>
  </si>
  <si>
    <t>Mrs. Yang Yanlan</t>
  </si>
  <si>
    <t>291982607@qq.com</t>
  </si>
  <si>
    <t>Validated by RBI until 01/26/2019</t>
  </si>
  <si>
    <t>Laizhou, Yantai Prefecture, Shandong Province, China</t>
  </si>
  <si>
    <t>Jiang Guochang 姜国昌</t>
  </si>
  <si>
    <t>ir@sd-gold.com</t>
  </si>
  <si>
    <t>Kuki, Saitama, Japan</t>
  </si>
  <si>
    <t>Naoji Yamada</t>
  </si>
  <si>
    <t>nao-yamada@tokuriki-kanda.co.jp</t>
  </si>
  <si>
    <t>Validated by LBMA until 03/30/2018</t>
  </si>
  <si>
    <t>Anhui</t>
  </si>
  <si>
    <t>180 Unyong-ri, Dunpo-myeon, Asan-si, Chungcheongnam-do, South Korea</t>
  </si>
  <si>
    <t>JooHong Ahn</t>
  </si>
  <si>
    <t>thirstymoon@torecom.co.kr</t>
  </si>
  <si>
    <t>Validated by RBI until 05/18/2019</t>
  </si>
  <si>
    <t>Ulba Metallurgical Plant JSC, 102, Abay Ave., 070005, Ust-Kamenogorsk, Republic of Kazakhstan</t>
  </si>
  <si>
    <t>Mr. Andrey Kapustin</t>
  </si>
  <si>
    <t>KapustinAA@ulba.kz</t>
  </si>
  <si>
    <t>Recycled and from Kahendwa, Katonge, Kisengo, Kiyambi, Luena, Bitango,  Shori</t>
  </si>
  <si>
    <t>Mineral sourcing L1, L3, DRC, R/S, Katanga/Australia/Bolivia/Brazil/Ethiopia/India/Mozambigue/Rwanda/Sierra Leone/Zimbabwe</t>
  </si>
  <si>
    <t>Guarulhos, São Paulo</t>
  </si>
  <si>
    <t>Andre Alves</t>
  </si>
  <si>
    <t>Andre.Alves@am.umicore.com</t>
  </si>
  <si>
    <t>Hoboken, Belgium</t>
  </si>
  <si>
    <t>Jan Robbroeckx</t>
  </si>
  <si>
    <t>Jan.Robbroeckx@eu.umicore.com</t>
  </si>
  <si>
    <t>2781 Townline Road, Alden, NY 14004 USA</t>
  </si>
  <si>
    <t>Mr. Michael Mikolay</t>
  </si>
  <si>
    <t>MMikolay@unitedpmr.com</t>
  </si>
  <si>
    <t>Balerna, Switzerland</t>
  </si>
  <si>
    <t>Michael Mesaric</t>
  </si>
  <si>
    <t>Michael.Mesaric@valcambi.com</t>
  </si>
  <si>
    <t>Validated by LBMA / RJC until 03/31/2018</t>
  </si>
  <si>
    <t>CID002011</t>
  </si>
  <si>
    <t>Vietnam Youngsun Tungsten Industry Co., Ltd.</t>
  </si>
  <si>
    <t>Cailan Industrial Zone, Halong City, Quang Ninh Province, Vietnam</t>
  </si>
  <si>
    <t>Ms. Candy Qin; Mr. Li Song Wang</t>
  </si>
  <si>
    <t>candy_wfyoungsun@163.com (Ms. Candy Qin); song@wfyoungsun.com (Mr. Li Song Wang)</t>
  </si>
  <si>
    <t>Mineral sourcing L1,L3, Australia</t>
  </si>
  <si>
    <t>CID002015</t>
  </si>
  <si>
    <t>VQB Mineral and Trading Group JSC</t>
  </si>
  <si>
    <t>Nguyen Van Ngoc</t>
  </si>
  <si>
    <t>Newburn, Australia</t>
  </si>
  <si>
    <t>Nathan Edwards</t>
  </si>
  <si>
    <t>Nathan.edwards@perthmint.com.au</t>
  </si>
  <si>
    <t>Validated by LBMA until 10/30/2018</t>
  </si>
  <si>
    <t>Recycled, Scrap and from Bronzewing Gold Mine</t>
  </si>
  <si>
    <t>Highway BR 421, KM 1,1 – Ariquemes – Rondonia - Brazil</t>
  </si>
  <si>
    <t>Paulo Amparo</t>
  </si>
  <si>
    <t>gerentegeral.rp@whitesolder.com.br</t>
  </si>
  <si>
    <t>Validated by RBI until 03/20/2021</t>
  </si>
  <si>
    <t>Private Mines in the Ariquemes Rondonia region of Brazil</t>
  </si>
  <si>
    <t>Bergia 33, St. Martin i-S, Styria, Austria A-8543</t>
  </si>
  <si>
    <t>Steffen Schmidt</t>
  </si>
  <si>
    <t>s.schmidt@wolfram.at</t>
  </si>
  <si>
    <t>Validated by RBI until 04/05/2019</t>
  </si>
  <si>
    <t>Mineral sourcing L1, L3, DRC, R/S,not disclosed by supplier</t>
  </si>
  <si>
    <t>No.300, Ke Jingshe, Haicang District, Xiamen, China</t>
  </si>
  <si>
    <t>Liu (Eric) Renfeng</t>
  </si>
  <si>
    <t>liu.renfeng@cxtc.com</t>
  </si>
  <si>
    <t>Validated by RBI until 04/21/2020</t>
  </si>
  <si>
    <t>From NinHua Xingluokeng Tungsten Mining Co.,Ltd; Luoyang Yulu Mining Co.,Ltd;Zijin Mining Co.,Ltd;Xianglushan Mine;Xinxhou Mining Co.,Ltd</t>
  </si>
  <si>
    <t>Mineral sourcing L1,R/S, China</t>
  </si>
  <si>
    <t>Guihua Country, Renhua County, Shaoguan, Guangdong, China 512300</t>
  </si>
  <si>
    <t>Lily Ouyang</t>
  </si>
  <si>
    <t>lily.ouyang@xinhai-tungsten.com</t>
  </si>
  <si>
    <t>1090-3 Otani, Kamibun, Kagami-cho, Konan-shi</t>
  </si>
  <si>
    <t>Hiroyuki Itoigawa</t>
  </si>
  <si>
    <t>itoigawa@yamakin-gold.co.jp</t>
  </si>
  <si>
    <t>3-5-2, haslmotodai midor-ku, Sagamihara-city, Kanagawa-ken, 252-0244 Japan</t>
  </si>
  <si>
    <t>Daisuke Suzuki</t>
  </si>
  <si>
    <t>d-suzuki@mail.yk-metal.co.jp</t>
  </si>
  <si>
    <t>Validated by RBI until 10/12/2019</t>
  </si>
  <si>
    <t>Datun, Gejiu City, Yunnan, China P.R.</t>
  </si>
  <si>
    <t>Mr. Zhou Xiaobin</t>
  </si>
  <si>
    <t>zxb4495@sina.com</t>
  </si>
  <si>
    <t>Validated by RBI until 12/13/2018</t>
  </si>
  <si>
    <t>Recycled, Scrap and mines from Yunnan tin</t>
  </si>
  <si>
    <t>No. 1 Smelting Road, Jinhu West Road, Gejiu Yunnan, China</t>
  </si>
  <si>
    <t>Mr. Zhang Peng</t>
  </si>
  <si>
    <t>ytczp@126.com</t>
  </si>
  <si>
    <t>Recycled, Scrap and mines from Gejiu Laochang Tin Mine/Song Shujiao Tin Mine</t>
  </si>
  <si>
    <t>Sanmenxia City, Henan, China</t>
  </si>
  <si>
    <t>zjzx@zjgold.com</t>
  </si>
  <si>
    <t>From Zhongyuan Gold Smelter of Zhongjin Gold Corporation</t>
  </si>
  <si>
    <t>CID002232</t>
  </si>
  <si>
    <t>Zhuzhou Cemented Carbide Group Co., Ltd.</t>
  </si>
  <si>
    <t>Shanghang, Fujian, China</t>
  </si>
  <si>
    <t>Leigui Qin 雷桂琴</t>
  </si>
  <si>
    <t>zjkyir@zjky.cn</t>
  </si>
  <si>
    <t>Validated by LBMA until 09/09/2018</t>
  </si>
  <si>
    <t>CZECH REPUBLIC</t>
  </si>
  <si>
    <t>CID002307</t>
  </si>
  <si>
    <t>Yichun Jin Yang Rare Metal Co., Ltd.</t>
  </si>
  <si>
    <t>Yifeng</t>
  </si>
  <si>
    <t xml:space="preserve">Some are cover countries or DRC sourced but not all. </t>
  </si>
  <si>
    <t>Liuzhu Liang, Mr. Chen</t>
  </si>
  <si>
    <t>jdau9999@163.com, htjk@goldjd.com</t>
  </si>
  <si>
    <t>Dokmai, Pravet, Thailand</t>
  </si>
  <si>
    <t>Jeroen Dejonckheere</t>
  </si>
  <si>
    <t>jeroen.dejonckheere@ap.umicore.com</t>
  </si>
  <si>
    <t>Validated by RJC until 06/20/2019</t>
  </si>
  <si>
    <t>Ganxian Hongjin Industry Zone 2nd Stage, Ganzhou Jiangxi, China</t>
  </si>
  <si>
    <t>Vincent Lau</t>
  </si>
  <si>
    <t>23026897@qq.com</t>
  </si>
  <si>
    <t>Validated by RBI until 02/07/2021</t>
  </si>
  <si>
    <t>Changlong Town, Chongyi County, Ganzhou City, Jiangxi Province, PR China</t>
  </si>
  <si>
    <t>Mike Yang</t>
  </si>
  <si>
    <t>tungsten.export@w.jx.cn</t>
  </si>
  <si>
    <t>Validated by RBI until 04/22/2019</t>
  </si>
  <si>
    <t>From Chongyi Weiheng Mining Co.,Ltd/Chongyi Hengchang Co.,Ltd</t>
  </si>
  <si>
    <t>Mineral sourcing L1, Changlong Town,Chongyi County,Jiangxi Province China</t>
  </si>
  <si>
    <t>Changlong Town, Chongyi County, Ganzhou City, Jiangxi Province, China</t>
  </si>
  <si>
    <t>Eric Zhu</t>
  </si>
  <si>
    <t>dept3@jxtiec.com.cn</t>
  </si>
  <si>
    <t>Validated by RBI until 05/10/2019</t>
  </si>
  <si>
    <t>Sunrise Project Area of Xiushui Industrial Park, Tonggu, Yichun, Jiangxi, China</t>
  </si>
  <si>
    <t>Validated by RBI until 04/26/2019</t>
  </si>
  <si>
    <t>Nanfeng Xiaozhai Malipo town, Malipo county, Yunnan, China</t>
  </si>
  <si>
    <t>Validated by RBI until 04/25/2020</t>
  </si>
  <si>
    <t>No.298 Haijing Road, Xiamen Export Processing Zone, Xiamen, China.</t>
  </si>
  <si>
    <t>Validated by RBI until 04/27/2019</t>
  </si>
  <si>
    <t>Recycled, Scrap and mines, from NORTH AMERICAN TUNGSTEN CORP.LTD,A&amp;IR MINING</t>
  </si>
  <si>
    <t>Mineral sourcing L1, L3, DRC, R/S, Australia, Bolivia, Brazil, Burundi, Canada, Columbia, DLA, USA, Mexico, Nigeria, Russia, Rwanda, Spain, Thailand, Vietnam, Malaysia</t>
  </si>
  <si>
    <t>WuDu Industrial Park,Xiushui County,Jiangxi Province</t>
  </si>
  <si>
    <t>Jiasheng Yu</t>
  </si>
  <si>
    <t>yjstungsten@163.com</t>
  </si>
  <si>
    <t>Validated by RBI until 03/07/2021</t>
  </si>
  <si>
    <t>CID002455</t>
  </si>
  <si>
    <t>CV Venus Inti Perkasa</t>
  </si>
  <si>
    <t>Jl. TPI Kawasan Industri Ketapang, Pangkal Pinang, Sumatera Selatan, Indonesia</t>
  </si>
  <si>
    <t>Mr. Achmad Albani</t>
  </si>
  <si>
    <t>aa.achmad@yahoo.com</t>
  </si>
  <si>
    <t>399 Kilvert St, Warwick, RI 02886</t>
  </si>
  <si>
    <t>Mike Gervais</t>
  </si>
  <si>
    <t>Mike@geibrefining.com</t>
  </si>
  <si>
    <t>Validated by RBI until 09/07/2018</t>
  </si>
  <si>
    <t>Av. Joao Ferreira Penna, 281 Distrito industrial III, CEP 14707-202 Bebedouro, Sao Paulo, Brazil</t>
  </si>
  <si>
    <t>Fernando Junior</t>
  </si>
  <si>
    <t>fernandojunior@magnusmetais.com.br</t>
  </si>
  <si>
    <t>Validated by RBI until 05/09/2021</t>
  </si>
  <si>
    <t>NO.1 Songjia Village, Zhuhui District, Hengyang City, Hunan Province, China</t>
  </si>
  <si>
    <t>Jiang Ying</t>
  </si>
  <si>
    <t>3377815@qq.com</t>
  </si>
  <si>
    <t>Validated by RBI until 03/30/2019</t>
  </si>
  <si>
    <t>No. 45 Dongyongshan Road, Ganzhou City, Jiangzi Province, China</t>
  </si>
  <si>
    <t>Nancy Zhang</t>
  </si>
  <si>
    <t>nancy@sinda-tungsten.com</t>
  </si>
  <si>
    <t>Validated by RBI until 08/09/2020</t>
  </si>
  <si>
    <t>From Ganzhou Haixin Tungsten Products Ltd, Ganzhou Grand Metals Minerals Industry Co,.Ltd.,Dapengshan 2. Ganzhou Grand Sea Metals Minerals Industry  W&amp;Mo Co,.Ltd.
Dapengshan</t>
  </si>
  <si>
    <t>Rua Curimatã, 2324  Ariquemes-RO Brazil CEP: 76870-229</t>
  </si>
  <si>
    <t>Ivan Cardoso</t>
  </si>
  <si>
    <t>pcp.ro@meltmetais.com.br</t>
  </si>
  <si>
    <t xml:space="preserve">Not disclosed by supplier
</t>
  </si>
  <si>
    <t>Plot CN 06 Tan Tien Industrial Zone, Vinh Bao District, Hai Phong, Vietnam</t>
  </si>
  <si>
    <t>Ms. Li Mei (Tracy) Luo</t>
  </si>
  <si>
    <t>tracy_llm@aliyun.com</t>
  </si>
  <si>
    <t>Validated by RBI until 10/27/2018</t>
  </si>
  <si>
    <t>Mineral sourcing L1, L3, DRC, not disclosed by supplier</t>
  </si>
  <si>
    <t>Kawasan Industri san Pelabuhan Jelitik Sunailiat, Kepulauan Bangka Belitung Province</t>
  </si>
  <si>
    <t>Mr. Sam Chandra</t>
  </si>
  <si>
    <t>sam@atdmmj.com</t>
  </si>
  <si>
    <t>Validated by RBI until 12/01/2018</t>
  </si>
  <si>
    <t>1111 Jenkins Road, Gastonia NC</t>
  </si>
  <si>
    <t>Craig Hafner</t>
  </si>
  <si>
    <t>Craig@dblockmetals.com</t>
  </si>
  <si>
    <t>Jiulong Industrial Zone, Yanling, Zhuzhou, Hunnan, China
106, Building 27, Yonghong Village, Hetang District, Zhuzhou, Hunan, China</t>
  </si>
  <si>
    <t>Peter Tang</t>
  </si>
  <si>
    <t>tang396919@hotmail.com</t>
  </si>
  <si>
    <t>Validated by RBI until 09/15/2018</t>
  </si>
  <si>
    <t>801 East Binjiang Road, Jiujiang, Jiangxi, China</t>
  </si>
  <si>
    <t>Mr. Che</t>
  </si>
  <si>
    <t>chejiahe2011@vip.163.com</t>
  </si>
  <si>
    <t>Rencun Industrial Zone, Xinxing County, Yunfu City, Guangdong Province, China</t>
  </si>
  <si>
    <t>Mr. Yongqiang Wang (Vice-General Manager)</t>
  </si>
  <si>
    <t>wyq0099@163.com</t>
  </si>
  <si>
    <t>Validated by RBI until 10/23/2018</t>
  </si>
  <si>
    <t>Mewat, Haryana, India</t>
  </si>
  <si>
    <t>Rajesh Khosla</t>
  </si>
  <si>
    <t>rajesh.khosla@mmtcpamp.com</t>
  </si>
  <si>
    <t>Validated by LBMA until 03/29/2018</t>
  </si>
  <si>
    <t>CID002510</t>
  </si>
  <si>
    <t>Republic Metals Corporation</t>
  </si>
  <si>
    <t>12900 NW 38th Avenue, Miami, FL 33054</t>
  </si>
  <si>
    <t>Miami</t>
  </si>
  <si>
    <t>Jason Rubin</t>
  </si>
  <si>
    <t>Jason@republicmetalscorp.com</t>
  </si>
  <si>
    <t>Validated by LBMA / RJC until 01/28/2021</t>
  </si>
  <si>
    <t>NO.98hujiabian road fengxin jiangxi China</t>
  </si>
  <si>
    <t>Ms. Fen Zhou</t>
  </si>
  <si>
    <t>2336763048@qq.com</t>
  </si>
  <si>
    <t>Sizhuyuan, Suxian District, Chenzhou City, Hunan Province, China</t>
  </si>
  <si>
    <t>Miss Qi Yin</t>
  </si>
  <si>
    <t>qiyin@minmetals.com</t>
  </si>
  <si>
    <t>No. 13 Gong 1st Rd. Dayuan Township, Taoyuan Country, Taiwan 33759 R.O.C.</t>
  </si>
  <si>
    <t>Serena Xinyi CAI</t>
  </si>
  <si>
    <t>serena@sing-way.com</t>
  </si>
  <si>
    <t>Phase 3 Block 15-A Lot 1, Cavite Economic Zone, 4106 Rosario Cavite, Philippines</t>
  </si>
  <si>
    <t>Ms. Vangie Punongbayan</t>
  </si>
  <si>
    <t>eb.punongbayan@omp.com.ph</t>
  </si>
  <si>
    <t>CID002530</t>
  </si>
  <si>
    <t>PT Inti Stania Prima</t>
  </si>
  <si>
    <t>Kawasan Industri dan Pelabuhan Jelitik dan Pelabuhan Sungailiat, Kepulauan Bangka Belitung Province</t>
  </si>
  <si>
    <t>Adis Imam</t>
  </si>
  <si>
    <t>adis_im@yahoo.com</t>
  </si>
  <si>
    <t>CID002535</t>
  </si>
  <si>
    <t>Jiangxi Xiushui Xianggan Nonferrous Metals Co., Ltd.</t>
  </si>
  <si>
    <t>CID002536</t>
  </si>
  <si>
    <t>Ganzhou Yatai Tungsten Co., Ltd.</t>
  </si>
  <si>
    <t>Carlos Salazar 15, 67192 Matamoros, Tamaulipas, Mexico</t>
  </si>
  <si>
    <t>Carlota Garza</t>
  </si>
  <si>
    <t>CarlotaGarza@kemet.com</t>
  </si>
  <si>
    <t>Validated by RBI until 01/24/2019</t>
  </si>
  <si>
    <t>Plant Goslar, Im Schleeke 78-91, 38642 Goslar</t>
  </si>
  <si>
    <t>Tanja Stalke</t>
  </si>
  <si>
    <t>tanja.stalke@hcstarck.com</t>
  </si>
  <si>
    <t>Validated by RBI until 05/04/2021</t>
  </si>
  <si>
    <t>Mineral sourcing L1,R/S, Australia, Bolivia, Canada, Portugal, Russia, Spain, Vietnam</t>
  </si>
  <si>
    <t>Plant Rhina, Ferroweg 1, 79725 Laufenburg (Baden)</t>
  </si>
  <si>
    <t>Hamlet 11, Ha Thuong commune, Dai Tu Dist., Thai Nguyen, Vietnam</t>
  </si>
  <si>
    <t>Mr. Mirek Banaczkowski</t>
  </si>
  <si>
    <t>Mirek.Banaczkowski@nuiphao-hcstarck.com</t>
  </si>
  <si>
    <t>Mineral sourcing L1,L3,R/S, not disclosed by supplier</t>
  </si>
  <si>
    <t>5, I-3A Road, Map Ta Phut Industrial Estate, Rayong 21150, Thailand</t>
  </si>
  <si>
    <t>Frank Habig</t>
  </si>
  <si>
    <t>Frank.Habig@hcstarck.com</t>
  </si>
  <si>
    <t>Mineral sourcing L1, L3, DRC, R/S,Australia, Bolivia, Brazil, Burundi, Democratic Republic of Congo, Ethiopia, India, Mozambique, Namibia, Nigeria, Rwanda, Sierra Leone, Zimbabwe</t>
  </si>
  <si>
    <t>Robert-Friese-Straße 4, 07629 Hermsdorf</t>
  </si>
  <si>
    <t>From Sites ENAG &amp; Rhina</t>
  </si>
  <si>
    <t>Mineral sourcing L1</t>
  </si>
  <si>
    <t>45 Industrial Place, Newton, MA 02461-1951</t>
  </si>
  <si>
    <t>From various mines, Talison</t>
  </si>
  <si>
    <t>No. 9 Industrial Park, Hitachi Ohmiya-city, Ibaraki Pref., Japan</t>
  </si>
  <si>
    <t>Validated by RBI until 12/05/2018</t>
  </si>
  <si>
    <t>Validated by RBI until 12/04/2018</t>
  </si>
  <si>
    <t>Mineral sourcing L1,DRC,R/S, not disclosed by supplier</t>
  </si>
  <si>
    <t>Ganzhou City, Jiangxi Province, P.R.China</t>
  </si>
  <si>
    <t>1223 County Line Road, Boyertown, PA, 19512, US</t>
  </si>
  <si>
    <t>Jean-Paul Meutcheho (Director of Corporate Social Responsibility)</t>
  </si>
  <si>
    <t>JMeutcheho@globaladvancedmetals.com</t>
  </si>
  <si>
    <t>From Talison, Noventa, Tanco, proprietary</t>
  </si>
  <si>
    <t>Mineral sourcing L1, L2, L3, DRC, R/S, Australia, Brazil, Burundi, Canada, DRC, Japan, Mozambique, Mozambique, Rwanda, United States</t>
  </si>
  <si>
    <t>Aizuwakamatsu, Fukushima, Japan</t>
  </si>
  <si>
    <t>Recycled, Scrap and mines from Talison, Noventa, Tanco, proprietary</t>
  </si>
  <si>
    <t>Mineral sourcing L1, R/S, Rwanda, DRC, Burundi, Mozambique, Brazil, Australia</t>
  </si>
  <si>
    <t>Unit No: EZ-03-04, Plot No: DMCC-EZ3-04, Jumeirah Lakes Towers, Dubai, United Arab Emirates</t>
  </si>
  <si>
    <t>Jamie Belino</t>
  </si>
  <si>
    <t>jamie.belino@aletihadgold.com</t>
  </si>
  <si>
    <t>Validated by RBI until 03/01/2019</t>
  </si>
  <si>
    <t>Mineral sourcing L1, L2,R/S, not disclosed by supplier</t>
  </si>
  <si>
    <t>Plot No. 1G, Phase 1, Plot No.393-111, Jumeirah Lakes Towers, DMCC, Sheik Zayed Road, P.O. Box 24305, Dubai, UAE</t>
  </si>
  <si>
    <t>Rami Shakarchi</t>
  </si>
  <si>
    <t>rami.shakarchi@emiratesgold.ae</t>
  </si>
  <si>
    <t>CID002568</t>
  </si>
  <si>
    <t>KEMET Blue Powder</t>
  </si>
  <si>
    <t>Mound House, Nevada, USA</t>
  </si>
  <si>
    <t>Mound House</t>
  </si>
  <si>
    <t>CID002570</t>
  </si>
  <si>
    <t>CV Ayi Jaya</t>
  </si>
  <si>
    <t>Jl Kawasan Industri dan Pelabuhan Umum Jelitik, Sungai Liat, Kepulauan Bangka Belitung, Indonesia</t>
  </si>
  <si>
    <t>Robi</t>
  </si>
  <si>
    <t>ayi_jaya@yahoo.com</t>
  </si>
  <si>
    <t>Validated by RBI until 07/28/2019</t>
  </si>
  <si>
    <t>Hengyang, Hunan, China</t>
  </si>
  <si>
    <t>Yang Mei (Vice General Manager)</t>
  </si>
  <si>
    <t>yangmei@hengdong-wolfram.com</t>
  </si>
  <si>
    <t>Capolona, Italy</t>
  </si>
  <si>
    <t>tcaspa@tcaspa.com</t>
  </si>
  <si>
    <t xml:space="preserve">Some are recycled or scrap sourced but not all. </t>
  </si>
  <si>
    <t>PO Box 398, Depew, NY, USA 14043</t>
  </si>
  <si>
    <t>Roger Showalter</t>
  </si>
  <si>
    <t>roger@buffalotungsten.com, roger@niagararefining.com</t>
  </si>
  <si>
    <t>CID002592</t>
  </si>
  <si>
    <t>CV Dua Sekawan</t>
  </si>
  <si>
    <t>JL. KH. ABDULLAH ADDARI RT/RW 001/001, KELURAHAN MASJID JAMIK, KECAMATAN RANGKUI, KOTA PANGKALPINANG</t>
  </si>
  <si>
    <t>Rudi Sahwani (Director)</t>
  </si>
  <si>
    <t>cv.duasekawan01@gmail.com</t>
  </si>
  <si>
    <t>CID002593</t>
  </si>
  <si>
    <t>CV Tiga Sekawan</t>
  </si>
  <si>
    <t>JL. AIR MAWAR DALAM BUKIT INTAN, PANGKAL PINANG, PROPINSI BANGKA BELITUNG</t>
  </si>
  <si>
    <t>Darmansyah (Manager)</t>
  </si>
  <si>
    <t>darmansyah919@gmail.com, syahdarman87@yahoo.co.id</t>
  </si>
  <si>
    <t>Young Poong B/D 142 Nonhyeon-dong, Gangnam-gu, Seoul</t>
  </si>
  <si>
    <t>Koohoi Kim</t>
  </si>
  <si>
    <t>khoikim@koreazinc.co.kr</t>
  </si>
  <si>
    <t>Validated by RBI until 10/14/2017</t>
  </si>
  <si>
    <t>Rua Antonio das Chagas 1733, São Paulo, Sp, Brazil, Zip 04714-002</t>
  </si>
  <si>
    <t>Jose Inacio Franco</t>
  </si>
  <si>
    <t>Jose@marsam.com.br</t>
  </si>
  <si>
    <t>Nalchik, the Kabardino-Balkar Republic, Russia</t>
  </si>
  <si>
    <t>Igor Akhachev</t>
  </si>
  <si>
    <t>akhachev@wolframcompany.ru</t>
  </si>
  <si>
    <t>DZUNG NGUYEN</t>
  </si>
  <si>
    <t>TRUNGDUNG20071986@GMAIL.COM</t>
  </si>
  <si>
    <t>Rodovia BR 265 - Km 264 - Distrido Industrial de São João Del Rei - Minas gerais, CEP: 36315-000</t>
  </si>
  <si>
    <t>Marilda Frigieri</t>
  </si>
  <si>
    <t>mfrigieri@terra.com.br</t>
  </si>
  <si>
    <t>Validated by RBI until 05/12/2019</t>
  </si>
  <si>
    <t>Unecha town, Bryansk Region, Russia</t>
  </si>
  <si>
    <t>Dmitry Sabitov</t>
  </si>
  <si>
    <t>sabitov@wolframcompany.ru</t>
  </si>
  <si>
    <t>Validated by RBI until 07/20/2019</t>
  </si>
  <si>
    <t>145, rue du Temple | 75003 Paris | France</t>
  </si>
  <si>
    <t>Tali Nadjar</t>
  </si>
  <si>
    <t>tali.nadjar@saamp.com</t>
  </si>
  <si>
    <t>Validated by RJC until 02/01/2020</t>
  </si>
  <si>
    <t>Strada A, 32 – Loc. San Zeno 52100 Arezzo</t>
  </si>
  <si>
    <t>Filippo Finocchi</t>
  </si>
  <si>
    <t>filippo.finocchi@italpreziosi.it</t>
  </si>
  <si>
    <t>Validated by RJC until 03/22/2020</t>
  </si>
  <si>
    <t>Nieuwe Dreef 33, Beerse, Belgium</t>
  </si>
  <si>
    <t>Bernard Rademakers</t>
  </si>
  <si>
    <t>Bernard.Rademakers@metallo.com</t>
  </si>
  <si>
    <t>Validated by RBI until 05/23/2019</t>
  </si>
  <si>
    <t>Barrio Arene, 20 - 48640 Berango Vizcaya, Spain</t>
  </si>
  <si>
    <t>Inge Hofkens</t>
  </si>
  <si>
    <t>Inge.Hofkens@metallo.com</t>
  </si>
  <si>
    <t>CID002776</t>
  </si>
  <si>
    <t>PT Bangka Prima Tin</t>
  </si>
  <si>
    <t>Jalan Desa Air Mesu, Kecamatan Pangkalan Baru, Kabupaten Bangka Tengah, Kepulauan Bangka Belitung</t>
  </si>
  <si>
    <t>Air Mesu</t>
  </si>
  <si>
    <t>Andi Kurniawan</t>
  </si>
  <si>
    <t>Yoanbz_dahsyat@yahoo.com</t>
  </si>
  <si>
    <t>Validated by RBI until 10/26/2019</t>
  </si>
  <si>
    <t>Erzstraße 5, 09633 Halsbrücke</t>
  </si>
  <si>
    <t>Sylvia Fehse</t>
  </si>
  <si>
    <t>fehse@saxonia.de</t>
  </si>
  <si>
    <t>Validated by RBI until 05/15/2019</t>
  </si>
  <si>
    <t>Schwenninger Straße 13, 75119 Pforzheim</t>
  </si>
  <si>
    <t>Stefan Helmling</t>
  </si>
  <si>
    <t>helmling@wieland-edelmetalle.de, Stefan.Helmling@wieland-edelmetalle.de</t>
  </si>
  <si>
    <t>Liesinger Flur-Gasse 4, 1230 Vienna, Austria</t>
  </si>
  <si>
    <t>Marcus Fasching</t>
  </si>
  <si>
    <t>marcus.fasching@oegussa.at</t>
  </si>
  <si>
    <t>Validated by RJC until 01/28/2021</t>
  </si>
  <si>
    <t>Wuji Town, Hengdong County</t>
  </si>
  <si>
    <t>He Fanpeng (Vice General Manager)</t>
  </si>
  <si>
    <t>183136972@qq.com</t>
  </si>
  <si>
    <t>Validated by RBI until 08/10/2019</t>
  </si>
  <si>
    <t>CID002816</t>
  </si>
  <si>
    <t>PT Sukses Inti Makmur</t>
  </si>
  <si>
    <t>Jl. Raya Petikan RT 007 / RW 03. Dusun Petikan, Desa Sungai Samak. Kecamatan Badau, Kapubaten Belitung, Indonesia</t>
  </si>
  <si>
    <t>Sungai Samak</t>
  </si>
  <si>
    <t>Temmy Njoto</t>
  </si>
  <si>
    <t>temmy.njoto@gmail.com</t>
  </si>
  <si>
    <t>Validated by RBI until 09/01/2019</t>
  </si>
  <si>
    <t>Unit D 1&amp;2 Greenmiles Compound, Iglesia ni Cristo St., Sta. Rosa 1, Marilao, Bulacan, Philippines P.C. 3019</t>
  </si>
  <si>
    <t>Lily Zhang</t>
  </si>
  <si>
    <t>josephine08@163.com</t>
  </si>
  <si>
    <t>Validated by RBI until 03/31/2019</t>
  </si>
  <si>
    <t>CID002829</t>
  </si>
  <si>
    <t>PT Kijang Jaya Mandiri</t>
  </si>
  <si>
    <t>Jl. Raya Pangkalpinang - Sungailiat Km. 10, Desa Merawang, Kec. Merawang, Kabupaten Bangka, Provinsi Kepulauan Kepulauan Bangka Belitung, Indonesia</t>
  </si>
  <si>
    <t>Yohanes</t>
  </si>
  <si>
    <t>zzhenghe@gmail.com</t>
  </si>
  <si>
    <t>Validated by RBI until 10/03/2018</t>
  </si>
  <si>
    <t>Zhongduan Soiuth Road, Industry Park Zone, Xinfeng County</t>
  </si>
  <si>
    <t>Yvette</t>
  </si>
  <si>
    <t>251106295@qq.com</t>
  </si>
  <si>
    <t>Validated by RBI until 07/30/2019</t>
  </si>
  <si>
    <t>RUA SÃO MARCOS, 237 DISTRITO INDUSTRIAL</t>
  </si>
  <si>
    <t>Andréia Camargo</t>
  </si>
  <si>
    <t>aclmetais@aclmetais.com.br</t>
  </si>
  <si>
    <t>CID002835</t>
  </si>
  <si>
    <t>PT Menara Cipta Mulia</t>
  </si>
  <si>
    <t>Dusun Padang RT07, Desa Mentawak, Kecamatan Kelapa Kampit, Provinsi Kepulauan Kepulauan Bangka Belitung, Indonesia</t>
  </si>
  <si>
    <t>Mentawak</t>
  </si>
  <si>
    <t>Validated by RBI until 09/12/2020</t>
  </si>
  <si>
    <t>No. 3, Chunyi Road, Industrial Park</t>
  </si>
  <si>
    <t>Mr. Huang Shuigen</t>
  </si>
  <si>
    <t>489673857@qq.com</t>
  </si>
  <si>
    <t>Validated by RBI until 12/23/2019</t>
  </si>
  <si>
    <t>116-24 Cheonbuksandan-ro 2-gil, Cheonbuk-myeon, Gyeongju-si, Gyeongsangbuk-do, Korea</t>
  </si>
  <si>
    <t>Mr. An Sangho (CFO)</t>
  </si>
  <si>
    <t>an@woltech.co.kr</t>
  </si>
  <si>
    <t>Jiu Er Industrial Area, Jun Men Ling Town, HuiChang County, Ganzhou City, Jiangxi Province, China</t>
  </si>
  <si>
    <t>Mr. Peng Xu</t>
  </si>
  <si>
    <t>470977527@qq.com</t>
  </si>
  <si>
    <t>18 Kosyakova Street, 1140730 Roshal, Russian Federation</t>
  </si>
  <si>
    <t>German Veisman</t>
  </si>
  <si>
    <t>german@nordmet.ch</t>
  </si>
  <si>
    <t>Validated by RBI until 03/13/2019</t>
  </si>
  <si>
    <t>MACEDONIA, THE FORMER YUGOSLAV REPUBLIC OF</t>
  </si>
  <si>
    <t>CID002848</t>
  </si>
  <si>
    <t>Gejiu Fengming Metallurgy Chemical Plant</t>
  </si>
  <si>
    <t>Lao Hu Shan Yao, Jijie Town, Gejiu, Yunnan</t>
  </si>
  <si>
    <t>Ms. Li Chunhui (李春慧)</t>
  </si>
  <si>
    <t>hh6822@163.com</t>
  </si>
  <si>
    <t>Validated by RBI until 09/27/2018</t>
  </si>
  <si>
    <t>广西灌阳县西山坪工业区 / Xishanping Industrial Park, Guilin City, Guanyang County, Guangxi</t>
  </si>
  <si>
    <t>Wen Zhun 文淮 (Finance Manager)</t>
  </si>
  <si>
    <t>1426376297@qq.com</t>
  </si>
  <si>
    <t>Validated by RBI until 01/21/2021</t>
  </si>
  <si>
    <t>SA Jewel Centre - Suite 417, 225 Main Street, Johannesburg, 2001</t>
  </si>
  <si>
    <t>William Botes (General Manager)</t>
  </si>
  <si>
    <t>william@autraders.co.za</t>
  </si>
  <si>
    <t>Validated by RJC until 05/28/2021</t>
  </si>
  <si>
    <t>CID002854</t>
  </si>
  <si>
    <t>Universal Precious Metals Refining Zambia</t>
  </si>
  <si>
    <t>Lot 148, Jalan PBR 20, Kawasan Perindustrian Bukit Rambai (Fasa 4A), 75250</t>
  </si>
  <si>
    <t>Miss Low (Administration Manager)</t>
  </si>
  <si>
    <t>low@modeltech.com.my</t>
  </si>
  <si>
    <t>CID002859</t>
  </si>
  <si>
    <t>Gejiu Jinye Mineral Company</t>
  </si>
  <si>
    <t>Huoguduxiazhai Village, Jijie Town</t>
  </si>
  <si>
    <t>Jijie</t>
  </si>
  <si>
    <t>Mr. YAN Shaolin, General Manager</t>
  </si>
  <si>
    <t>yanshaolin889@126.com</t>
  </si>
  <si>
    <t>Validated by RBI until 10/26/2018</t>
  </si>
  <si>
    <t>CID002866</t>
  </si>
  <si>
    <t>Morris and Watson Gold Coast</t>
  </si>
  <si>
    <t>Gold Coast</t>
  </si>
  <si>
    <t>CID002870</t>
  </si>
  <si>
    <t>PT Lautan Harmonis Sejahtera</t>
  </si>
  <si>
    <t>Jalan Raya Tukak Sadai, Desa Pasir Putih, Kecamatan Tukak Sadai, Kabupaten Bangka Selatan</t>
  </si>
  <si>
    <t>Pasir Putih</t>
  </si>
  <si>
    <t>Cyril (Hongshi) Xie</t>
  </si>
  <si>
    <t>cyril@3vusainc.com</t>
  </si>
  <si>
    <t>Validated by RBI until 12/12/2018</t>
  </si>
  <si>
    <t>143-15(Bieungdo-dong) Gunsansandan-ro, Gunsan-si, Jeollabuk-do, Korea, 573-450</t>
  </si>
  <si>
    <t>Son Hyun Tae (QC Manager)</t>
  </si>
  <si>
    <t>hyuntae3@sungeel.com</t>
  </si>
  <si>
    <t>Validated by RBI until 03/09/2018</t>
  </si>
  <si>
    <t>Sexta Industrial 8147, Mejillones II Región</t>
  </si>
  <si>
    <t>Richard Kang</t>
  </si>
  <si>
    <t>Richard@prmchile.com</t>
  </si>
  <si>
    <t>Validated by RBI until 12/06/2018</t>
  </si>
  <si>
    <t>San Zeno Strada B 1/3, Arezzo, 52100</t>
  </si>
  <si>
    <t>Francesco Ricciardi</t>
  </si>
  <si>
    <t>info@safimet.com</t>
  </si>
  <si>
    <t>Validated by RJC until 10/09/2020</t>
  </si>
  <si>
    <t>Wugong Longshan Laohu Guxiang Village 1, Chaoan Zone of Chaozhou, Guangdong</t>
  </si>
  <si>
    <t>Ying Yan</t>
  </si>
  <si>
    <t>36739603@qq.com</t>
  </si>
  <si>
    <t>Validated by RBI until 03/09/2019</t>
  </si>
  <si>
    <t>Smelting Chemical Industry Park, Jinding Industry Park, Linxi county, Chifeng city, Inner Mongolia</t>
  </si>
  <si>
    <t>Mr. Liu (General Manager)</t>
  </si>
  <si>
    <t>235741904@qq.com</t>
  </si>
  <si>
    <t>CID003191</t>
  </si>
  <si>
    <t>Jiujiang Janny New Material Co., Ltd.</t>
  </si>
  <si>
    <t>No.3 park, Petrochemical Industry Park, XunYang District, BinJiang East Road, JiuJiang City, JiangXi province, China</t>
  </si>
  <si>
    <t>Herman</t>
  </si>
  <si>
    <t>herman@jiujiangjx.com</t>
  </si>
  <si>
    <t>Jl.Ketapang, Kawasan Industri, Kota Pangkalpinang</t>
  </si>
  <si>
    <t>Pangkalpinang</t>
  </si>
  <si>
    <t>Validated by RBI until 10/13/2018</t>
  </si>
  <si>
    <t>Mineral sourcing not disclosed by supplier</t>
  </si>
  <si>
    <t>Elektronikfertigung  Electronic Manufacturing Services (EMS)</t>
  </si>
  <si>
    <t>CHE-112.411.362</t>
  </si>
  <si>
    <t>Q-Leitung</t>
  </si>
  <si>
    <t>PlaceTec AG / Industriestrasse 17 / CH-4410 Liestal</t>
  </si>
  <si>
    <t>Rolf Weyermann</t>
  </si>
  <si>
    <t>rolf.weyermann@placetec.ch</t>
  </si>
  <si>
    <t>++41 61 973 08 80</t>
  </si>
  <si>
    <t>CEO</t>
  </si>
  <si>
    <t>++41 61 973 03 80</t>
  </si>
  <si>
    <t>entspr. erhaltenen Lieferanteninformationen</t>
  </si>
  <si>
    <t>bzw. nicht bekannt</t>
  </si>
  <si>
    <t>bzw. gem. Smelter List</t>
  </si>
  <si>
    <t>https://www.placetec.ch/de/firma/downloads.html</t>
  </si>
  <si>
    <t>unsere Lieferanten beziehen  keine Materialien direkt von Schmelzhütten</t>
  </si>
  <si>
    <t>wir akzeptieren Stellungnahmen in schriftlicher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</si>
</sst>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0"/>
      <name val="FangSong"/>
      <family val="3"/>
      <charset val="134"/>
    </font>
    <font>
      <sz val="10"/>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50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wrapText="1"/>
      <protection locked="0"/>
    </xf>
    <xf numFmtId="0" fontId="90" fillId="33" borderId="19" xfId="593" applyFill="1" applyBorder="1" applyAlignment="1" applyProtection="1">
      <alignment horizontal="left" vertical="center" wrapText="1"/>
      <protection locked="0"/>
    </xf>
    <xf numFmtId="0" fontId="90" fillId="0" borderId="48" xfId="593" applyBorder="1" applyAlignment="1" applyProtection="1">
      <alignment horizontal="left" vertical="center" wrapText="1"/>
      <protection locked="0" hidden="1"/>
    </xf>
    <xf numFmtId="0" fontId="90" fillId="0" borderId="19" xfId="499" applyBorder="1" applyAlignment="1" applyProtection="1">
      <alignment horizontal="left" vertical="center" wrapText="1"/>
      <protection locked="0" hidden="1"/>
    </xf>
    <xf numFmtId="0" fontId="79" fillId="0" borderId="48" xfId="499" applyFont="1" applyBorder="1" applyProtection="1">
      <protection locked="0"/>
    </xf>
    <xf numFmtId="0" fontId="79" fillId="0" borderId="19" xfId="499" applyFont="1" applyBorder="1" applyProtection="1">
      <protection locked="0"/>
    </xf>
    <xf numFmtId="0" fontId="79" fillId="0" borderId="42" xfId="499" applyFont="1" applyBorder="1" applyProtection="1">
      <protection locked="0"/>
    </xf>
    <xf numFmtId="0" fontId="79" fillId="0" borderId="57" xfId="499" applyFont="1" applyBorder="1" applyProtection="1">
      <protection locked="0"/>
    </xf>
    <xf numFmtId="0" fontId="79" fillId="0" borderId="19" xfId="499" applyFont="1" applyBorder="1" applyAlignment="1" applyProtection="1">
      <alignment wrapText="1"/>
      <protection locked="0"/>
    </xf>
    <xf numFmtId="0" fontId="0" fillId="0" borderId="48" xfId="0" applyBorder="1" applyAlignment="1" applyProtection="1">
      <alignment horizontal="left" vertical="center"/>
      <protection locked="0" hidden="1"/>
    </xf>
    <xf numFmtId="0" fontId="0" fillId="0" borderId="19" xfId="0" applyBorder="1" applyAlignment="1" applyProtection="1">
      <alignment horizontal="left" vertical="center"/>
      <protection locked="0" hidden="1"/>
    </xf>
    <xf numFmtId="0" fontId="0" fillId="33" borderId="53" xfId="0" applyFill="1" applyBorder="1" applyAlignment="1" applyProtection="1">
      <alignment horizontal="left" vertical="center"/>
      <protection locked="0" hidden="1"/>
    </xf>
    <xf numFmtId="0" fontId="0" fillId="33" borderId="42" xfId="0" applyFill="1" applyBorder="1" applyAlignment="1" applyProtection="1">
      <alignment horizontal="left" vertical="center"/>
      <protection locked="0" hidden="1"/>
    </xf>
    <xf numFmtId="0" fontId="0" fillId="33" borderId="0" xfId="0" applyFill="1" applyAlignment="1" applyProtection="1">
      <alignment horizontal="left" vertical="center" wrapText="1"/>
      <protection locked="0"/>
    </xf>
    <xf numFmtId="0" fontId="90" fillId="0" borderId="0" xfId="499" applyAlignment="1" applyProtection="1">
      <alignment horizontal="left" vertical="center" wrapText="1"/>
      <protection locked="0" hidden="1"/>
    </xf>
    <xf numFmtId="0" fontId="90" fillId="33" borderId="0" xfId="593" applyFill="1" applyAlignment="1" applyProtection="1">
      <alignment horizontal="left" vertical="center" wrapText="1"/>
      <protection locked="0"/>
    </xf>
    <xf numFmtId="0" fontId="10" fillId="0" borderId="0" xfId="0" applyFont="1" applyProtection="1">
      <protection locked="0"/>
    </xf>
    <xf numFmtId="0" fontId="10" fillId="0" borderId="19" xfId="0" applyFont="1" applyBorder="1" applyProtection="1">
      <protection locked="0"/>
    </xf>
    <xf numFmtId="0" fontId="0" fillId="0" borderId="42" xfId="0" applyBorder="1" applyAlignment="1" applyProtection="1">
      <alignment wrapText="1"/>
      <protection locked="0"/>
    </xf>
    <xf numFmtId="0" fontId="90" fillId="0" borderId="19" xfId="593" applyBorder="1" applyAlignment="1" applyProtection="1">
      <alignment vertical="center" wrapText="1"/>
      <protection locked="0" hidden="1"/>
    </xf>
    <xf numFmtId="0" fontId="90" fillId="33" borderId="53" xfId="593" applyFill="1" applyBorder="1" applyAlignment="1" applyProtection="1">
      <alignment horizontal="left" vertical="center" wrapText="1"/>
      <protection locked="0" hidden="1"/>
    </xf>
    <xf numFmtId="0" fontId="90" fillId="33" borderId="42" xfId="593" applyFill="1" applyBorder="1" applyAlignment="1" applyProtection="1">
      <alignment horizontal="left" vertical="center" wrapText="1"/>
      <protection locked="0" hidden="1"/>
    </xf>
    <xf numFmtId="0" fontId="90" fillId="0" borderId="19" xfId="593" applyBorder="1" applyAlignment="1" applyProtection="1">
      <alignment wrapText="1"/>
      <protection locked="0"/>
    </xf>
    <xf numFmtId="0" fontId="90" fillId="33" borderId="42" xfId="593" applyFill="1" applyBorder="1" applyAlignment="1" applyProtection="1">
      <alignment horizontal="left" vertical="center" wrapText="1"/>
      <protection locked="0"/>
    </xf>
    <xf numFmtId="0" fontId="90" fillId="0" borderId="57" xfId="593" applyBorder="1" applyAlignment="1" applyProtection="1">
      <alignment wrapText="1"/>
      <protection locked="0"/>
    </xf>
    <xf numFmtId="0" fontId="0" fillId="0" borderId="19" xfId="0" applyBorder="1" applyAlignment="1" applyProtection="1">
      <alignment horizontal="left" vertical="center" wrapText="1"/>
      <protection locked="0" hidden="1"/>
    </xf>
    <xf numFmtId="0" fontId="0" fillId="0" borderId="48" xfId="0" applyBorder="1" applyAlignment="1" applyProtection="1">
      <alignment horizontal="left" vertical="center"/>
      <protection locked="0"/>
    </xf>
    <xf numFmtId="0" fontId="0" fillId="0" borderId="19" xfId="0" applyBorder="1" applyAlignment="1" applyProtection="1">
      <alignment horizontal="left" vertical="center" wrapText="1"/>
      <protection locked="0"/>
    </xf>
    <xf numFmtId="0" fontId="0" fillId="0" borderId="19" xfId="0" applyBorder="1" applyAlignment="1" applyProtection="1">
      <alignment horizontal="left" wrapText="1"/>
      <protection locked="0"/>
    </xf>
    <xf numFmtId="0" fontId="0" fillId="0" borderId="42" xfId="0" applyBorder="1" applyAlignment="1" applyProtection="1">
      <alignment horizontal="left" vertical="center"/>
      <protection locked="0"/>
    </xf>
    <xf numFmtId="0" fontId="0" fillId="0" borderId="57" xfId="0" applyBorder="1" applyAlignment="1" applyProtection="1">
      <alignment horizontal="left" vertical="center"/>
      <protection locked="0"/>
    </xf>
    <xf numFmtId="0" fontId="0" fillId="0" borderId="65" xfId="0" applyBorder="1" applyAlignment="1" applyProtection="1">
      <alignment wrapText="1"/>
      <protection locked="0"/>
    </xf>
    <xf numFmtId="0" fontId="0" fillId="0" borderId="66" xfId="0" applyBorder="1" applyAlignment="1" applyProtection="1">
      <alignment wrapText="1"/>
      <protection locked="0"/>
    </xf>
    <xf numFmtId="0" fontId="0" fillId="33" borderId="65"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hidden="1"/>
    </xf>
    <xf numFmtId="0" fontId="90" fillId="33" borderId="65" xfId="593" applyFill="1" applyBorder="1" applyAlignment="1" applyProtection="1">
      <alignment horizontal="left" vertical="center" wrapText="1"/>
      <protection locked="0"/>
    </xf>
    <xf numFmtId="0" fontId="10" fillId="0" borderId="65" xfId="0" applyFont="1" applyBorder="1" applyProtection="1">
      <protection locked="0"/>
    </xf>
    <xf numFmtId="0" fontId="0" fillId="0" borderId="48" xfId="0" applyBorder="1" applyAlignment="1" applyProtection="1">
      <alignment vertical="center" wrapText="1"/>
      <protection locked="0" hidden="1"/>
    </xf>
    <xf numFmtId="0" fontId="90" fillId="33" borderId="48" xfId="593" applyFill="1" applyBorder="1" applyAlignment="1" applyProtection="1">
      <alignment horizontal="left" vertical="center" wrapText="1"/>
      <protection locked="0"/>
    </xf>
    <xf numFmtId="0" fontId="90" fillId="33" borderId="67" xfId="593" applyFill="1"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90" fillId="0" borderId="67" xfId="593"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xf>
    <xf numFmtId="0" fontId="0" fillId="33" borderId="19" xfId="0" applyFill="1" applyBorder="1" applyAlignment="1" applyProtection="1">
      <alignment horizontal="left" vertical="center" wrapText="1"/>
      <protection locked="0" hidden="1"/>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3" xr:uid="{C89293CF-B1A7-4333-8CB4-BBD15109148E}"/>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00">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lf.weyermann@placetec.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lacetec.ch/de/firma/downloads.html" TargetMode="External"/><Relationship Id="rId4" Type="http://schemas.openxmlformats.org/officeDocument/2006/relationships/hyperlink" Target="mailto:rolf.weyermann@placetec.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4"/>
  <cols>
    <col min="1" max="1" width="0.8203125" style="113" customWidth="1"/>
    <col min="2" max="2" width="8" style="113" customWidth="1"/>
    <col min="3" max="3" width="8.5859375" style="113" customWidth="1"/>
    <col min="4" max="4" width="13" style="215" customWidth="1"/>
    <col min="5" max="5" width="42.3515625" style="113" customWidth="1"/>
    <col min="6" max="6" width="53.3515625" style="113" customWidth="1"/>
    <col min="7" max="7" width="0.8203125" style="113" customWidth="1"/>
    <col min="8" max="16384" width="9" style="113"/>
  </cols>
  <sheetData>
    <row r="1" spans="1:7" ht="12.75" thickTop="1">
      <c r="A1" s="9"/>
      <c r="B1" s="10"/>
      <c r="C1" s="10"/>
      <c r="D1" s="207"/>
      <c r="E1" s="10"/>
      <c r="F1" s="10"/>
      <c r="G1" s="11"/>
    </row>
    <row r="2" spans="1:7">
      <c r="A2" s="347"/>
      <c r="B2" s="38" t="s">
        <v>870</v>
      </c>
      <c r="C2" s="36"/>
      <c r="D2" s="208"/>
      <c r="E2" s="3"/>
      <c r="F2" s="36"/>
      <c r="G2" s="34"/>
    </row>
    <row r="3" spans="1:7">
      <c r="A3" s="347"/>
      <c r="B3" s="5" t="s">
        <v>862</v>
      </c>
      <c r="C3" s="6"/>
      <c r="D3" s="209"/>
      <c r="E3" s="3"/>
      <c r="F3" s="6"/>
      <c r="G3" s="34"/>
    </row>
    <row r="4" spans="1:7" ht="15">
      <c r="A4" s="347"/>
      <c r="B4" s="41" t="s">
        <v>872</v>
      </c>
      <c r="C4" s="7"/>
      <c r="D4" s="210"/>
      <c r="E4" s="3"/>
      <c r="F4" s="7"/>
      <c r="G4" s="34"/>
    </row>
    <row r="5" spans="1:7" ht="12.75">
      <c r="A5" s="347"/>
      <c r="B5" s="40" t="s">
        <v>1063</v>
      </c>
      <c r="C5" s="4"/>
      <c r="D5" s="211"/>
      <c r="E5" s="3"/>
      <c r="F5" s="4"/>
      <c r="G5" s="34"/>
    </row>
    <row r="6" spans="1:7">
      <c r="A6" s="347"/>
      <c r="B6" s="8"/>
      <c r="C6" s="8"/>
      <c r="D6" s="212"/>
      <c r="E6" s="8"/>
      <c r="F6" s="8"/>
      <c r="G6" s="34"/>
    </row>
    <row r="7" spans="1:7">
      <c r="A7" s="347"/>
      <c r="B7" s="8"/>
      <c r="C7" s="8"/>
      <c r="D7" s="212"/>
      <c r="E7" s="8"/>
      <c r="F7" s="8"/>
      <c r="G7" s="34"/>
    </row>
    <row r="8" spans="1:7">
      <c r="A8" s="347"/>
      <c r="B8" s="8"/>
      <c r="C8" s="8"/>
      <c r="D8" s="212"/>
      <c r="E8" s="8"/>
      <c r="F8" s="8"/>
      <c r="G8" s="34"/>
    </row>
    <row r="9" spans="1:7">
      <c r="A9" s="347"/>
      <c r="B9" s="350" t="s">
        <v>873</v>
      </c>
      <c r="C9" s="350"/>
      <c r="D9" s="350"/>
      <c r="E9" s="350"/>
      <c r="F9" s="350"/>
      <c r="G9" s="34"/>
    </row>
    <row r="10" spans="1:7" ht="27" customHeight="1">
      <c r="A10" s="347"/>
      <c r="B10" s="351" t="s">
        <v>448</v>
      </c>
      <c r="C10" s="351"/>
      <c r="D10" s="351"/>
      <c r="E10" s="351"/>
      <c r="F10" s="351"/>
      <c r="G10" s="34"/>
    </row>
    <row r="11" spans="1:7" ht="27" customHeight="1">
      <c r="A11" s="347"/>
      <c r="B11" s="352"/>
      <c r="C11" s="352"/>
      <c r="D11" s="352"/>
      <c r="E11" s="352"/>
      <c r="F11" s="352"/>
      <c r="G11" s="34"/>
    </row>
    <row r="12" spans="1:7">
      <c r="A12" s="347"/>
      <c r="B12" s="42" t="s">
        <v>871</v>
      </c>
      <c r="C12" s="43" t="s">
        <v>874</v>
      </c>
      <c r="D12" s="213" t="s">
        <v>875</v>
      </c>
      <c r="E12" s="43" t="s">
        <v>628</v>
      </c>
      <c r="F12" s="43" t="s">
        <v>629</v>
      </c>
      <c r="G12" s="34"/>
    </row>
    <row r="13" spans="1:7" ht="20.25">
      <c r="A13" s="347"/>
      <c r="B13" s="2">
        <v>1</v>
      </c>
      <c r="C13" s="37" t="s">
        <v>1111</v>
      </c>
      <c r="D13" s="39" t="s">
        <v>899</v>
      </c>
      <c r="E13" s="196" t="s">
        <v>876</v>
      </c>
      <c r="F13" s="196"/>
      <c r="G13" s="34"/>
    </row>
    <row r="14" spans="1:7" ht="30.4">
      <c r="A14" s="347"/>
      <c r="B14" s="2">
        <v>2</v>
      </c>
      <c r="C14" s="37" t="s">
        <v>1111</v>
      </c>
      <c r="D14" s="39" t="s">
        <v>1048</v>
      </c>
      <c r="E14" s="196" t="s">
        <v>540</v>
      </c>
      <c r="F14" s="196" t="s">
        <v>541</v>
      </c>
      <c r="G14" s="34"/>
    </row>
    <row r="15" spans="1:7" ht="89.2" customHeight="1">
      <c r="A15" s="347"/>
      <c r="B15" s="353">
        <v>2.0099999999999998</v>
      </c>
      <c r="C15" s="356" t="s">
        <v>1111</v>
      </c>
      <c r="D15" s="359" t="s">
        <v>2358</v>
      </c>
      <c r="E15" s="197" t="s">
        <v>630</v>
      </c>
      <c r="F15" s="197" t="s">
        <v>633</v>
      </c>
      <c r="G15" s="34"/>
    </row>
    <row r="16" spans="1:7" ht="99" customHeight="1">
      <c r="A16" s="347"/>
      <c r="B16" s="354"/>
      <c r="C16" s="357"/>
      <c r="D16" s="360"/>
      <c r="E16" s="198"/>
      <c r="F16" s="198" t="s">
        <v>631</v>
      </c>
      <c r="G16" s="34"/>
    </row>
    <row r="17" spans="1:7" ht="63" customHeight="1">
      <c r="A17" s="347"/>
      <c r="B17" s="355"/>
      <c r="C17" s="358"/>
      <c r="D17" s="361"/>
      <c r="E17" s="37"/>
      <c r="F17" s="37" t="s">
        <v>632</v>
      </c>
      <c r="G17" s="34"/>
    </row>
    <row r="18" spans="1:7" ht="117" customHeight="1">
      <c r="A18" s="347"/>
      <c r="B18" s="353">
        <v>2.02</v>
      </c>
      <c r="C18" s="356" t="s">
        <v>1111</v>
      </c>
      <c r="D18" s="359" t="s">
        <v>2359</v>
      </c>
      <c r="E18" s="197" t="s">
        <v>449</v>
      </c>
      <c r="F18" s="197" t="s">
        <v>535</v>
      </c>
      <c r="G18" s="34"/>
    </row>
    <row r="19" spans="1:7" ht="71.2" customHeight="1">
      <c r="A19" s="347"/>
      <c r="B19" s="354"/>
      <c r="C19" s="357"/>
      <c r="D19" s="360"/>
      <c r="E19" s="198" t="s">
        <v>539</v>
      </c>
      <c r="F19" s="198" t="s">
        <v>450</v>
      </c>
      <c r="G19" s="34"/>
    </row>
    <row r="20" spans="1:7" ht="90.75" customHeight="1">
      <c r="A20" s="347"/>
      <c r="B20" s="354"/>
      <c r="C20" s="357"/>
      <c r="D20" s="360"/>
      <c r="E20" s="198"/>
      <c r="F20" s="198" t="s">
        <v>635</v>
      </c>
      <c r="G20" s="34"/>
    </row>
    <row r="21" spans="1:7" ht="74.25" customHeight="1">
      <c r="A21" s="347"/>
      <c r="B21" s="355"/>
      <c r="C21" s="358"/>
      <c r="D21" s="361"/>
      <c r="E21" s="37"/>
      <c r="F21" s="37" t="s">
        <v>634</v>
      </c>
      <c r="G21" s="34"/>
    </row>
    <row r="22" spans="1:7" ht="90" customHeight="1">
      <c r="A22" s="347"/>
      <c r="B22" s="365">
        <v>2.0299999999999998</v>
      </c>
      <c r="C22" s="365" t="s">
        <v>845</v>
      </c>
      <c r="D22" s="368" t="s">
        <v>2360</v>
      </c>
      <c r="E22" s="356" t="s">
        <v>447</v>
      </c>
      <c r="F22" s="197" t="s">
        <v>470</v>
      </c>
      <c r="G22" s="34"/>
    </row>
    <row r="23" spans="1:7" ht="109.5" customHeight="1">
      <c r="A23" s="347"/>
      <c r="B23" s="366"/>
      <c r="C23" s="366"/>
      <c r="D23" s="369"/>
      <c r="E23" s="357"/>
      <c r="F23" s="198" t="s">
        <v>846</v>
      </c>
      <c r="G23" s="34"/>
    </row>
    <row r="24" spans="1:7" ht="74.25" customHeight="1">
      <c r="A24" s="347"/>
      <c r="B24" s="367"/>
      <c r="C24" s="367"/>
      <c r="D24" s="370"/>
      <c r="E24" s="358"/>
      <c r="F24" s="37" t="s">
        <v>446</v>
      </c>
      <c r="G24" s="34"/>
    </row>
    <row r="25" spans="1:7" ht="72" customHeight="1">
      <c r="A25" s="347"/>
      <c r="B25" s="2" t="s">
        <v>468</v>
      </c>
      <c r="C25" s="37" t="s">
        <v>469</v>
      </c>
      <c r="D25" s="39" t="s">
        <v>2361</v>
      </c>
      <c r="E25" s="37" t="s">
        <v>2356</v>
      </c>
      <c r="F25" s="37" t="s">
        <v>471</v>
      </c>
      <c r="G25" s="34"/>
    </row>
    <row r="26" spans="1:7" ht="98.2" customHeight="1">
      <c r="A26" s="347"/>
      <c r="B26" s="362">
        <v>3</v>
      </c>
      <c r="C26" s="353" t="s">
        <v>72</v>
      </c>
      <c r="D26" s="359" t="s">
        <v>2362</v>
      </c>
      <c r="E26" s="356" t="s">
        <v>0</v>
      </c>
      <c r="F26" s="197" t="s">
        <v>66</v>
      </c>
      <c r="G26" s="34"/>
    </row>
    <row r="27" spans="1:7" ht="90" customHeight="1">
      <c r="A27" s="347"/>
      <c r="B27" s="363"/>
      <c r="C27" s="354"/>
      <c r="D27" s="360"/>
      <c r="E27" s="357"/>
      <c r="F27" s="198" t="s">
        <v>61</v>
      </c>
      <c r="G27" s="34"/>
    </row>
    <row r="28" spans="1:7" ht="19.45" customHeight="1">
      <c r="A28" s="347"/>
      <c r="B28" s="363"/>
      <c r="C28" s="354"/>
      <c r="D28" s="360"/>
      <c r="E28" s="357"/>
      <c r="F28" s="198" t="s">
        <v>62</v>
      </c>
      <c r="G28" s="34"/>
    </row>
    <row r="29" spans="1:7" ht="74.55" customHeight="1">
      <c r="A29" s="347"/>
      <c r="B29" s="363"/>
      <c r="C29" s="354"/>
      <c r="D29" s="360"/>
      <c r="E29" s="357"/>
      <c r="F29" s="198" t="s">
        <v>63</v>
      </c>
      <c r="G29" s="34"/>
    </row>
    <row r="30" spans="1:7" ht="62.55" customHeight="1">
      <c r="A30" s="347"/>
      <c r="B30" s="363"/>
      <c r="C30" s="354"/>
      <c r="D30" s="360"/>
      <c r="E30" s="357"/>
      <c r="F30" s="198" t="s">
        <v>64</v>
      </c>
      <c r="G30" s="34"/>
    </row>
    <row r="31" spans="1:7" ht="81" customHeight="1">
      <c r="A31" s="347"/>
      <c r="B31" s="363"/>
      <c r="C31" s="354"/>
      <c r="D31" s="360"/>
      <c r="E31" s="357"/>
      <c r="F31" s="198" t="s">
        <v>65</v>
      </c>
      <c r="G31" s="34"/>
    </row>
    <row r="32" spans="1:7" ht="48.75" customHeight="1">
      <c r="A32" s="347"/>
      <c r="B32" s="363"/>
      <c r="C32" s="354"/>
      <c r="D32" s="360"/>
      <c r="E32" s="357"/>
      <c r="F32" s="198" t="s">
        <v>68</v>
      </c>
      <c r="G32" s="34"/>
    </row>
    <row r="33" spans="1:7" ht="98.55" customHeight="1">
      <c r="A33" s="347"/>
      <c r="B33" s="363"/>
      <c r="C33" s="354"/>
      <c r="D33" s="360"/>
      <c r="E33" s="357"/>
      <c r="F33" s="198" t="s">
        <v>67</v>
      </c>
      <c r="G33" s="34"/>
    </row>
    <row r="34" spans="1:7" ht="89.2" customHeight="1">
      <c r="A34" s="347"/>
      <c r="B34" s="363"/>
      <c r="C34" s="354"/>
      <c r="D34" s="360"/>
      <c r="E34" s="357"/>
      <c r="F34" s="198" t="s">
        <v>69</v>
      </c>
      <c r="G34" s="34"/>
    </row>
    <row r="35" spans="1:7" ht="29.2" customHeight="1">
      <c r="A35" s="347"/>
      <c r="B35" s="363"/>
      <c r="C35" s="354"/>
      <c r="D35" s="360"/>
      <c r="E35" s="357"/>
      <c r="F35" s="198" t="s">
        <v>70</v>
      </c>
      <c r="G35" s="34"/>
    </row>
    <row r="36" spans="1:7" ht="107.65">
      <c r="A36" s="347"/>
      <c r="B36" s="364"/>
      <c r="C36" s="355"/>
      <c r="D36" s="361"/>
      <c r="E36" s="358"/>
      <c r="F36" s="199" t="s">
        <v>71</v>
      </c>
      <c r="G36" s="34"/>
    </row>
    <row r="37" spans="1:7" ht="101.25">
      <c r="A37" s="347"/>
      <c r="B37" s="171">
        <v>3.01</v>
      </c>
      <c r="C37" s="172" t="s">
        <v>72</v>
      </c>
      <c r="D37" s="39" t="s">
        <v>2363</v>
      </c>
      <c r="E37" s="200" t="s">
        <v>1351</v>
      </c>
      <c r="F37" s="201" t="s">
        <v>1457</v>
      </c>
      <c r="G37" s="34"/>
    </row>
    <row r="38" spans="1:7" ht="81">
      <c r="A38" s="347"/>
      <c r="B38" s="171">
        <v>3.02</v>
      </c>
      <c r="C38" s="172" t="s">
        <v>1384</v>
      </c>
      <c r="D38" s="39" t="s">
        <v>2364</v>
      </c>
      <c r="E38" s="200" t="s">
        <v>1399</v>
      </c>
      <c r="F38" s="201" t="s">
        <v>1458</v>
      </c>
      <c r="G38" s="34"/>
    </row>
    <row r="39" spans="1:7" ht="81">
      <c r="A39" s="347"/>
      <c r="B39" s="182">
        <v>4</v>
      </c>
      <c r="C39" s="181" t="s">
        <v>1554</v>
      </c>
      <c r="D39" s="39" t="s">
        <v>2365</v>
      </c>
      <c r="E39" s="37" t="s">
        <v>2307</v>
      </c>
      <c r="F39" s="37" t="s">
        <v>1555</v>
      </c>
      <c r="G39" s="34"/>
    </row>
    <row r="40" spans="1:7" ht="40.5">
      <c r="A40" s="347"/>
      <c r="B40" s="171">
        <v>4.01</v>
      </c>
      <c r="C40" s="181" t="s">
        <v>1554</v>
      </c>
      <c r="D40" s="39" t="s">
        <v>2367</v>
      </c>
      <c r="E40" s="37" t="s">
        <v>2321</v>
      </c>
      <c r="F40" s="37" t="s">
        <v>2326</v>
      </c>
      <c r="G40" s="34"/>
    </row>
    <row r="41" spans="1:7" ht="40.5">
      <c r="A41" s="347"/>
      <c r="B41" s="171" t="s">
        <v>2354</v>
      </c>
      <c r="C41" s="181" t="s">
        <v>1554</v>
      </c>
      <c r="D41" s="39" t="s">
        <v>2366</v>
      </c>
      <c r="E41" s="37" t="s">
        <v>2357</v>
      </c>
      <c r="F41" s="37" t="s">
        <v>2355</v>
      </c>
      <c r="G41" s="34"/>
    </row>
    <row r="42" spans="1:7" ht="40.5">
      <c r="A42" s="347"/>
      <c r="B42" s="171" t="s">
        <v>2399</v>
      </c>
      <c r="C42" s="181" t="s">
        <v>1554</v>
      </c>
      <c r="D42" s="39" t="s">
        <v>2406</v>
      </c>
      <c r="E42" s="37" t="s">
        <v>2356</v>
      </c>
      <c r="F42" s="37" t="s">
        <v>2400</v>
      </c>
      <c r="G42" s="34"/>
    </row>
    <row r="43" spans="1:7" ht="111.4">
      <c r="A43" s="347"/>
      <c r="B43" s="193">
        <v>4.0999999999999996</v>
      </c>
      <c r="C43" s="181" t="s">
        <v>2405</v>
      </c>
      <c r="D43" s="194">
        <v>42867</v>
      </c>
      <c r="E43" s="202" t="s">
        <v>2408</v>
      </c>
      <c r="F43" s="37" t="s">
        <v>2407</v>
      </c>
      <c r="G43" s="34"/>
    </row>
    <row r="44" spans="1:7" ht="70.900000000000006">
      <c r="A44" s="347"/>
      <c r="B44" s="193">
        <v>4.2</v>
      </c>
      <c r="C44" s="181" t="s">
        <v>2405</v>
      </c>
      <c r="D44" s="194">
        <v>42704</v>
      </c>
      <c r="E44" s="202" t="s">
        <v>2625</v>
      </c>
      <c r="F44" s="37" t="s">
        <v>2598</v>
      </c>
      <c r="G44" s="34"/>
    </row>
    <row r="45" spans="1:7" ht="131.65">
      <c r="A45" s="347"/>
      <c r="B45" s="243">
        <v>5</v>
      </c>
      <c r="C45" s="181" t="s">
        <v>2405</v>
      </c>
      <c r="D45" s="194">
        <v>42867</v>
      </c>
      <c r="E45" s="202" t="s">
        <v>13032</v>
      </c>
      <c r="F45" s="37" t="s">
        <v>12754</v>
      </c>
      <c r="G45" s="34"/>
    </row>
    <row r="46" spans="1:7" ht="30.4">
      <c r="A46" s="347"/>
      <c r="B46" s="193">
        <v>5.01</v>
      </c>
      <c r="C46" s="181" t="s">
        <v>2405</v>
      </c>
      <c r="D46" s="194">
        <v>42907</v>
      </c>
      <c r="E46" s="202" t="s">
        <v>13052</v>
      </c>
      <c r="F46" s="37" t="s">
        <v>12754</v>
      </c>
      <c r="G46" s="34"/>
    </row>
    <row r="47" spans="1:7" ht="60.75">
      <c r="A47" s="347"/>
      <c r="B47" s="193">
        <v>5.0999999999999996</v>
      </c>
      <c r="C47" s="181" t="s">
        <v>2405</v>
      </c>
      <c r="D47" s="194">
        <v>43070</v>
      </c>
      <c r="E47" s="202" t="s">
        <v>13247</v>
      </c>
      <c r="F47" s="37" t="s">
        <v>13248</v>
      </c>
      <c r="G47" s="34"/>
    </row>
    <row r="48" spans="1:7" ht="50.65">
      <c r="A48" s="347"/>
      <c r="B48" s="193">
        <v>5.1100000000000003</v>
      </c>
      <c r="C48" s="181" t="s">
        <v>13489</v>
      </c>
      <c r="D48" s="194">
        <v>43217</v>
      </c>
      <c r="E48" s="202" t="s">
        <v>13617</v>
      </c>
      <c r="F48" s="37" t="s">
        <v>13523</v>
      </c>
      <c r="G48" s="34"/>
    </row>
    <row r="49" spans="1:7" ht="50.65">
      <c r="A49" s="347"/>
      <c r="B49" s="193">
        <v>5.12</v>
      </c>
      <c r="C49" s="181" t="s">
        <v>13489</v>
      </c>
      <c r="D49" s="194">
        <v>43581</v>
      </c>
      <c r="E49" s="202" t="s">
        <v>13617</v>
      </c>
      <c r="F49" s="37" t="s">
        <v>14191</v>
      </c>
      <c r="G49" s="34"/>
    </row>
    <row r="50" spans="1:7" ht="70.900000000000006">
      <c r="A50" s="347"/>
      <c r="B50" s="243">
        <v>6</v>
      </c>
      <c r="C50" s="181" t="s">
        <v>13489</v>
      </c>
      <c r="D50" s="194">
        <v>43964</v>
      </c>
      <c r="E50" s="202" t="s">
        <v>14433</v>
      </c>
      <c r="F50" s="37" t="s">
        <v>14204</v>
      </c>
      <c r="G50" s="34"/>
    </row>
    <row r="51" spans="1:7" ht="40.5">
      <c r="A51" s="347"/>
      <c r="B51" s="193">
        <v>6.01</v>
      </c>
      <c r="C51" s="181" t="s">
        <v>13489</v>
      </c>
      <c r="D51" s="194">
        <v>43970</v>
      </c>
      <c r="E51" s="202" t="s">
        <v>15503</v>
      </c>
      <c r="F51" s="202" t="s">
        <v>14204</v>
      </c>
      <c r="G51" s="34"/>
    </row>
    <row r="52" spans="1:7" ht="12.75" thickBot="1">
      <c r="A52" s="348"/>
      <c r="B52" s="349" t="str">
        <f ca="1">OFFSET(L!$C$1,MATCH("General"&amp;"Cpy",L!$A:$A,0)-1,SL,,)</f>
        <v>© 2020 Responsible Minerals Initiative. All rights reserved.</v>
      </c>
      <c r="C52" s="349"/>
      <c r="D52" s="349"/>
      <c r="E52" s="349"/>
      <c r="F52" s="349"/>
      <c r="G52" s="35"/>
    </row>
    <row r="53" spans="1:7" ht="12.7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203125" defaultRowHeight="12.4"/>
  <cols>
    <col min="1" max="1" width="20.5859375" style="76" customWidth="1"/>
    <col min="2" max="2" width="57.17578125" style="76" customWidth="1"/>
    <col min="3" max="16384" width="8.82031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baseColWidth="10" defaultColWidth="8.8203125" defaultRowHeight="12.4"/>
  <cols>
    <col min="1" max="1" width="11.17578125" customWidth="1"/>
    <col min="2" max="2" width="25.761718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203125" defaultRowHeight="12.4"/>
  <cols>
    <col min="1" max="1" width="143" customWidth="1"/>
    <col min="2" max="2" width="3" customWidth="1"/>
  </cols>
  <sheetData>
    <row r="1" spans="1:2" ht="100.5" customHeight="1">
      <c r="A1" s="123" t="str">
        <f ca="1">OFFSET(L!$C$1,MATCH("Instructions"&amp;ADDRESS(ROW(),COLUMN(),4),L!$A:$A,0)-1,SL,,)</f>
        <v>RMI Website: (www.responsiblemineralsinitiative.org)
Schulung und Beratung, Vorlagen, Responsible Minerals Assurance Process, konforme Schmelzhütten Liste</v>
      </c>
      <c r="B1" s="114" t="s">
        <v>452</v>
      </c>
    </row>
    <row r="2" spans="1:2" ht="29.25">
      <c r="A2" s="124" t="str">
        <f ca="1">OFFSET(L!$C$1,MATCH("Instructions"&amp;ADDRESS(ROW(),COLUMN(),4),L!$A:$A,0)-1,SL,,)</f>
        <v>Einführung</v>
      </c>
      <c r="B2" s="114" t="s">
        <v>1327</v>
      </c>
    </row>
    <row r="3" spans="1:2" ht="181.5" customHeight="1">
      <c r="A3" s="121" t="str">
        <f ca="1">OFFSET(L!$C$1,MATCH("Instructions"&amp;ADDRESS(ROW(),COLUMN(),4),L!$A:$A,0)-1,SL,,)</f>
        <v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v>
      </c>
      <c r="B3" s="114" t="s">
        <v>1328</v>
      </c>
    </row>
    <row r="4" spans="1:2" ht="190.05" customHeight="1">
      <c r="A4" s="121"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4" t="s">
        <v>1334</v>
      </c>
    </row>
    <row r="5" spans="1:2" ht="14.65">
      <c r="A5" s="125"/>
      <c r="B5" s="114"/>
    </row>
    <row r="6" spans="1:2" ht="29.25">
      <c r="A6" s="124" t="str">
        <f ca="1">OFFSET(L!$C$1,MATCH("Instructions"&amp;ADDRESS(ROW(),COLUMN(),4),L!$A:$A,0)-1,SL,,)</f>
        <v>Anleitung zum Ausfüllen von Informationen zu Unternehmen (Zeilen 8 - 22).  Die Kommentare nur in englischer Sprache.</v>
      </c>
      <c r="B6" s="114" t="s">
        <v>1327</v>
      </c>
    </row>
    <row r="7" spans="1:2" ht="14.65">
      <c r="A7" s="294" t="str">
        <f ca="1">OFFSET(L!$C$1,MATCH("Instructions"&amp;ADDRESS(ROW(),COLUMN(),4),L!$A:$A,0)-1,SL,,)</f>
        <v>Hinweis: Eingaben mit (*) sind Pflichtfelder</v>
      </c>
      <c r="B7" s="114"/>
    </row>
    <row r="8" spans="1:2" ht="29.25">
      <c r="A8" s="121" t="str">
        <f ca="1">OFFSET(L!$C$1,MATCH("Instructions"&amp;ADDRESS(ROW(),COLUMN(),4),L!$A:$A,0)-1,SL,,)</f>
        <v>1. Geben Sie hier den rechtmäßigen Firmennamen Ihres Unternehmens ein. Bitte verwenden Sie keine Abkürzungen. In diesem Feld haben Sie die Möglichkeit, weitere Geschäftsnamen, DBAs usw. hinzuzufügen.</v>
      </c>
      <c r="B8" s="114"/>
    </row>
    <row r="9" spans="1:2" ht="310.05" customHeight="1">
      <c r="A9" s="17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4" t="s">
        <v>1326</v>
      </c>
    </row>
    <row r="10" spans="1:2" ht="36" customHeight="1">
      <c r="A10" s="121" t="str">
        <f ca="1">OFFSET(L!$C$1,MATCH("Instructions"&amp;ADDRESS(ROW(),COLUMN(),4),L!$A:$A,0)-1,SL,,)</f>
        <v>3.Geben sie ihre eindeutige Firmenidentifikationsnummer (DUNS Nummer, Steuernummer, Kunden-spezifische Kennung, etc.) ein</v>
      </c>
      <c r="B10" s="114"/>
    </row>
    <row r="11" spans="1:2" ht="35.25" customHeight="1">
      <c r="A11" s="121" t="str">
        <f ca="1">OFFSET(L!$C$1,MATCH("Instructions"&amp;ADDRESS(ROW(),COLUMN(),4),L!$A:$A,0)-1,SL,,)</f>
        <v>4. Geben Sie die Quelle für die eindeutige Kennung oder Code ( "DUNS",  "MWST","Kunde", etc. ) an.</v>
      </c>
      <c r="B11" s="114"/>
    </row>
    <row r="12" spans="1:2" ht="29.25">
      <c r="A12" s="121" t="str">
        <f ca="1">OFFSET(L!$C$1,MATCH("Instructions"&amp;ADDRESS(ROW(),COLUMN(),4),L!$A:$A,0)-1,SL,,)</f>
        <v>5. Geben Sie Ihre vollständige Firmenanschrift an (Straße, Stadt, Postleitzahl,  Bundesland).  Dieses Feld ist optional.</v>
      </c>
      <c r="B12" s="114" t="s">
        <v>1327</v>
      </c>
    </row>
    <row r="13" spans="1:2" ht="33.75" customHeight="1">
      <c r="A13" s="121" t="str">
        <f ca="1">OFFSET(L!$C$1,MATCH("Instructions"&amp;ADDRESS(ROW(),COLUMN(),4),L!$A:$A,0)-1,SL,,)</f>
        <v>6. Geben Sie den Namen der Kontaktperson zum Inhalt der Erklärung an. Dies ist ein obligatorisches Feld.</v>
      </c>
      <c r="B13" s="114"/>
    </row>
    <row r="14" spans="1:2" ht="29.25">
      <c r="A14" s="121"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4"/>
    </row>
    <row r="15" spans="1:2" ht="14.65">
      <c r="A15" s="121" t="str">
        <f ca="1">OFFSET(L!$C$1,MATCH("Instructions"&amp;ADDRESS(ROW(),COLUMN(),4),L!$A:$A,0)-1,SL,,)</f>
        <v>8. Geben Sie die Telefonnummer des Kontakts an. Dies ist ein obligatorisches Feld.</v>
      </c>
      <c r="B15" s="114"/>
    </row>
    <row r="16" spans="1:2" ht="43.9">
      <c r="A16" s="121"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4"/>
    </row>
    <row r="17" spans="1:2" ht="14.65">
      <c r="A17" s="121" t="str">
        <f ca="1">OFFSET(L!$C$1,MATCH("Instructions"&amp;ADDRESS(ROW(),COLUMN(),4),L!$A:$A,0)-1,SL,,)</f>
        <v>10. Geben Sie den Titel für den Namen des Bevollmächtigten an. Dieses Feld ist optional.</v>
      </c>
      <c r="B17" s="114"/>
    </row>
    <row r="18" spans="1:2" ht="29.25">
      <c r="A18" s="121"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4"/>
    </row>
    <row r="19" spans="1:2" ht="14.65">
      <c r="A19" s="121" t="str">
        <f ca="1">OFFSET(L!$C$1,MATCH("Instructions"&amp;ADDRESS(ROW(),COLUMN(),4),L!$A:$A,0)-1,SL,,)</f>
        <v>12. Fügen Sie die Telefonnummer der freigabeberechtigten Person ein. Das Ausfüllen dieses Feldes ist freiwillig.</v>
      </c>
      <c r="B19" s="114"/>
    </row>
    <row r="20" spans="1:2" ht="33.75" customHeight="1">
      <c r="A20" s="121" t="str">
        <f ca="1">OFFSET(L!$C$1,MATCH("Instructions"&amp;ADDRESS(ROW(),COLUMN(),4),L!$A:$A,0)-1,SL,,)</f>
        <v>13. Bitte geben Sie das Datum der Fertigstellung für dieses Formblatt mit dem Format TT-MMM-JJJJ ein. Dies ist ein obligatorisches Feld.</v>
      </c>
      <c r="B20" s="114"/>
    </row>
    <row r="21" spans="1:2" ht="29.25">
      <c r="A21" s="121" t="str">
        <f ca="1">OFFSET(L!$C$1,MATCH("Instructions"&amp;ADDRESS(ROW(),COLUMN(),4),L!$A:$A,0)-1,SL,,)</f>
        <v>14. Zum Beispiel kann der Benutzer die Datei unter dem Namen speichern: companyname-datum.xls (Datum im Format JJJJ-MM-TT).</v>
      </c>
      <c r="B21" s="114" t="s">
        <v>1327</v>
      </c>
    </row>
    <row r="22" spans="1:2" ht="14.65">
      <c r="A22" s="125"/>
      <c r="B22" s="114"/>
    </row>
    <row r="23" spans="1:2" ht="29.25">
      <c r="A23" s="124" t="str">
        <f ca="1">OFFSET(L!$C$1,MATCH("Instructions"&amp;ADDRESS(ROW(),COLUMN(),4),L!$A:$A,0)-1,SL,,)</f>
        <v>Anweisungen zum Ausfüllen der acht Fragen zur Sorgfaltsprüfung (Zeilen 24 - 71).
Bitte geben Sie Ihre Antworten nur auf ENGLISCH</v>
      </c>
      <c r="B23" s="114" t="s">
        <v>1327</v>
      </c>
    </row>
    <row r="24" spans="1:2" ht="58.5">
      <c r="A24" s="121"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4" t="s">
        <v>1330</v>
      </c>
    </row>
    <row r="25" spans="1:2" ht="58.5">
      <c r="A25" s="121"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v>
      </c>
      <c r="B25" s="114" t="s">
        <v>1327</v>
      </c>
    </row>
    <row r="26" spans="1:2" ht="276.75" customHeight="1">
      <c r="A26" s="121"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4" t="s">
        <v>1327</v>
      </c>
    </row>
    <row r="27" spans="1:2" ht="29.25">
      <c r="A27" s="121" t="str">
        <f ca="1">OFFSET(L!$C$1,MATCH("Instructions"&amp;ADDRESS(ROW(),COLUMN(),4),L!$A:$A,0)-1,SL,,)</f>
        <v>Manche Unternehmen benötigen eine Begründung für eine "Nein" -Antwort im Kommentarfeld</v>
      </c>
      <c r="B27" s="114" t="s">
        <v>1327</v>
      </c>
    </row>
    <row r="28" spans="1:2" ht="247.5" customHeight="1">
      <c r="A28" s="121"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4"/>
    </row>
    <row r="29" spans="1:2" ht="131.65">
      <c r="A29" s="121"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4" t="s">
        <v>1327</v>
      </c>
    </row>
    <row r="30" spans="1:2" ht="152.19999999999999" customHeight="1">
      <c r="A30" s="121"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4"/>
    </row>
    <row r="31" spans="1:2" ht="153" customHeight="1">
      <c r="A31" s="121"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4" t="s">
        <v>1327</v>
      </c>
    </row>
    <row r="32" spans="1:2" ht="175.5">
      <c r="A32" s="121"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4" t="s">
        <v>1330</v>
      </c>
    </row>
    <row r="33" spans="1:2" ht="73.150000000000006">
      <c r="A33" s="121"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4"/>
    </row>
    <row r="34" spans="1:2" ht="58.5">
      <c r="A34" s="121"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4" t="s">
        <v>1327</v>
      </c>
    </row>
    <row r="35" spans="1:2" ht="14.65">
      <c r="A35" s="121" t="str">
        <f ca="1">OFFSET(L!$C$1,MATCH("Instructions"&amp;ADDRESS(ROW(),COLUMN(),4),L!$A:$A,0)-1,SL,,)</f>
        <v>Geben Sie, falls notwendig, Anmerkungen im Kommentarbereich ein, die für eine Klarstellung ihrer Antwort hilfreich sind.</v>
      </c>
      <c r="B35" s="114"/>
    </row>
    <row r="36" spans="1:2" ht="14.65">
      <c r="A36" s="125"/>
      <c r="B36" s="114"/>
    </row>
    <row r="37" spans="1:2" ht="43.9">
      <c r="A37" s="124"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4" t="s">
        <v>1327</v>
      </c>
    </row>
    <row r="38" spans="1:2" ht="131.65">
      <c r="A38" s="121"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8" s="114" t="s">
        <v>1329</v>
      </c>
    </row>
    <row r="39" spans="1:2" ht="58.5">
      <c r="A39" s="121"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4"/>
    </row>
    <row r="40" spans="1:2" ht="58.5">
      <c r="A40" s="121"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4"/>
    </row>
    <row r="41" spans="1:2" ht="73.150000000000006">
      <c r="A41" s="121" t="str">
        <f ca="1">OFFSET(L!$C$1,MATCH("Instructions"&amp;ADDRESS(ROW(),COLUMN(),4),L!$A:$A,0)-1,SL,,)</f>
        <v>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v>
      </c>
      <c r="B41" s="114" t="s">
        <v>1332</v>
      </c>
    </row>
    <row r="42" spans="1:2" ht="175.5">
      <c r="A42" s="121" t="str">
        <f ca="1">OFFSET(L!$C$1,MATCH("Instructions"&amp;ADDRESS(ROW(),COLUMN(),4),L!$A:$A,0)-1,SL,,)</f>
        <v>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4" t="s">
        <v>1330</v>
      </c>
    </row>
    <row r="43" spans="1:2" ht="146.25">
      <c r="A43" s="121"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4" t="s">
        <v>1331</v>
      </c>
    </row>
    <row r="44" spans="1:2" ht="131.65">
      <c r="A44" s="121"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4" t="s">
        <v>1327</v>
      </c>
    </row>
    <row r="45" spans="1:2" ht="117">
      <c r="A45" s="121"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4" t="s">
        <v>1328</v>
      </c>
    </row>
    <row r="46" spans="1:2" ht="69.7" customHeight="1">
      <c r="A46" s="121"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4" t="s">
        <v>1327</v>
      </c>
    </row>
    <row r="47" spans="1:2" ht="14.65">
      <c r="A47" s="125"/>
      <c r="B47" s="114"/>
    </row>
    <row r="48" spans="1:2" ht="29.25">
      <c r="A48" s="124" t="str">
        <f ca="1">OFFSET(L!$C$1,MATCH("Instructions"&amp;ADDRESS(ROW(),COLUMN(),4),L!$A:$A,0)-1,SL,,)</f>
        <v>Anleitung zum Ausfüllen des Reiters "Smelter List". Bitte machen Sie ihre Angaben nur in englischer Sprache.</v>
      </c>
      <c r="B48" s="114" t="s">
        <v>1327</v>
      </c>
    </row>
    <row r="49" spans="1:2" ht="22.5" customHeight="1">
      <c r="A49" s="294" t="str">
        <f ca="1">OFFSET(L!$C$1,MATCH("Instructions"&amp;ADDRESS(ROW(),COLUMN(),4),L!$A:$A,0)-1,SL,,)</f>
        <v>Hinweis: Spalten mit (*) sind Pflichtfelder</v>
      </c>
      <c r="B49" s="114"/>
    </row>
    <row r="50" spans="1:2" ht="58.5">
      <c r="A50" s="121"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v>
      </c>
      <c r="B50" s="114" t="s">
        <v>1326</v>
      </c>
    </row>
    <row r="51" spans="1:2" ht="29.25">
      <c r="A51" s="121"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1" s="114" t="s">
        <v>1327</v>
      </c>
    </row>
    <row r="52" spans="1:2" ht="29.25">
      <c r="A52" s="121" t="str">
        <f ca="1">OFFSET(L!$C$1,MATCH("Instructions"&amp;ADDRESS(ROW(),COLUMN(),4),L!$A:$A,0)-1,SL,,)</f>
        <v>2.  Metall ( * ) - Verwenden Sie das Pull-down-Menü, um das Metall auszuwählen,  für welches Sie Informationen über den Schmelzer eingeben. Dies ist ein Pflichteingabefeld.</v>
      </c>
      <c r="B52" s="114"/>
    </row>
    <row r="53" spans="1:2" ht="58.5">
      <c r="A53" s="189"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3" s="114" t="s">
        <v>1327</v>
      </c>
    </row>
    <row r="54" spans="1:2" ht="58.5">
      <c r="A54" s="121"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4" s="114" t="s">
        <v>1326</v>
      </c>
    </row>
    <row r="55" spans="1:2" ht="73.150000000000006">
      <c r="A55" s="121"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5" s="114" t="s">
        <v>1332</v>
      </c>
    </row>
    <row r="56" spans="1:2" ht="58.5">
      <c r="A56" s="121"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6" s="114" t="s">
        <v>1326</v>
      </c>
    </row>
    <row r="57" spans="1:2" ht="58.5">
      <c r="A57" s="121"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7" s="114" t="s">
        <v>1326</v>
      </c>
    </row>
    <row r="58" spans="1:2" ht="58.5">
      <c r="A58" s="121" t="str">
        <f ca="1">OFFSET(L!$C$1,MATCH("Instructions"&amp;ADDRESS(ROW(),COLUMN(),4),L!$A:$A,0)-1,SL,,)</f>
        <v>8. Straße des Schmelzofens – Geben Sie den Straßennamen des Schmelzofenstandortes an. Das Ausfüllen dieses Feldes ist freiwillig.</v>
      </c>
      <c r="B58" s="114" t="s">
        <v>1326</v>
      </c>
    </row>
    <row r="59" spans="1:2" ht="29.25">
      <c r="A59" s="121" t="str">
        <f ca="1">OFFSET(L!$C$1,MATCH("Instructions"&amp;ADDRESS(ROW(),COLUMN(),4),L!$A:$A,0)-1,SL,,)</f>
        <v>9. Ort des Schmelzofens – Geben Sie den Namen des Ortes an, in dem sich der Schmelzofen befindet. Das Ausfüllen dieses Feldes ist freiwillig.</v>
      </c>
      <c r="B59" s="114" t="s">
        <v>1327</v>
      </c>
    </row>
    <row r="60" spans="1:2" ht="45" customHeight="1">
      <c r="A60" s="121" t="str">
        <f ca="1">OFFSET(L!$C$1,MATCH("Instructions"&amp;ADDRESS(ROW(),COLUMN(),4),L!$A:$A,0)-1,SL,,)</f>
        <v>10. Standort des Schmelzofens: Ggf. Bundesland/Region/Provinz – Geben Sie das Bundesland oder die Region/Provinz des Schmelzofenstandortes an. Das Ausfüllen dieses Feldes ist freiwillig.</v>
      </c>
      <c r="B60" s="114" t="s">
        <v>1330</v>
      </c>
    </row>
    <row r="61" spans="1:2" ht="160.9">
      <c r="A61" s="121"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4" t="s">
        <v>1330</v>
      </c>
    </row>
    <row r="62" spans="1:2" ht="58.5">
      <c r="A62" s="121"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2" s="114" t="s">
        <v>1326</v>
      </c>
    </row>
    <row r="63" spans="1:2" ht="73.150000000000006">
      <c r="A63" s="121"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v>
      </c>
      <c r="B63" s="114" t="s">
        <v>1326</v>
      </c>
    </row>
    <row r="64" spans="1:2" ht="87.75">
      <c r="A64" s="121"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v>
      </c>
      <c r="B64" s="114"/>
    </row>
    <row r="65" spans="1:2" ht="87.75">
      <c r="A65" s="121" t="str">
        <f ca="1">OFFSET(L!$C$1,MATCH("Instructions"&amp;ADDRESS(ROW(),COLUMN(),4),L!$A:$A,0)-1,SL,,)</f>
        <v>15. Zeigt an, ob der Schmelzofen seine Materialien für seine(n) Schmelzprozess(e) ausschließlich aus Recycling oder Schrott bezieht. Diese Frage ist optional.  Erlaubte Antworten auf diese Frage sind:
- Ja
- Nein
- Unbekannt</v>
      </c>
      <c r="B65" s="114"/>
    </row>
    <row r="66" spans="1:2" ht="110.25" customHeight="1">
      <c r="A66" s="121" t="str">
        <f ca="1">OFFSET(L!$C$1,MATCH("Instructions"&amp;ADDRESS(ROW(),COLUMN(),4),L!$A:$A,0)-1,SL,,)</f>
        <v xml:space="preserve">16. Anmerkungen - geben Sie Ihre Anmerkungen zu den Schmelzhütten in das Textfeld ein. Beispiel: Smelter is being acquired by Company YYY </v>
      </c>
      <c r="B66" s="114"/>
    </row>
    <row r="67" spans="1:2" s="28" customFormat="1" ht="14.65">
      <c r="A67" s="126"/>
      <c r="B67" s="114"/>
    </row>
    <row r="68" spans="1:2" s="28" customFormat="1" ht="34.5" customHeight="1">
      <c r="A68" s="124" t="str">
        <f ca="1">OFFSET(L!$C$1,MATCH("Instructions"&amp;ADDRESS(ROW(),COLUMN(),4),L!$A:$A,0)-1,SL,,)</f>
        <v>Allgemeine Geschäftsbedingungen (AGB)</v>
      </c>
      <c r="B68" s="114"/>
    </row>
    <row r="69" spans="1:2" s="28" customFormat="1" ht="14.65">
      <c r="A69" s="126"/>
      <c r="B69" s="114"/>
    </row>
    <row r="70" spans="1:2" ht="58.5">
      <c r="A70" s="12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4" t="s">
        <v>1327</v>
      </c>
    </row>
    <row r="71" spans="1:2" ht="93.7" customHeight="1">
      <c r="A71" s="2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4" t="s">
        <v>1333</v>
      </c>
    </row>
    <row r="72" spans="1:2" ht="117">
      <c r="A72" s="2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4" t="s">
        <v>1331</v>
      </c>
    </row>
    <row r="73" spans="1:2" ht="73.150000000000006">
      <c r="A73" s="2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4" t="s">
        <v>1332</v>
      </c>
    </row>
    <row r="74" spans="1:2" ht="29.25">
      <c r="A74" s="121"/>
      <c r="B74" s="114" t="s">
        <v>451</v>
      </c>
    </row>
    <row r="75" spans="1:2" ht="14.65">
      <c r="A75" s="121" t="str">
        <f ca="1">OFFSET(L!$C$1,MATCH("General"&amp;"Cpy",L!$A:$A,0)-1,SL,,)</f>
        <v>© 2020 Responsible Minerals Initiative. All rights reserved.</v>
      </c>
      <c r="B75" s="115"/>
    </row>
    <row r="76" spans="1:2" ht="14.65">
      <c r="A76" s="122" t="s">
        <v>1058</v>
      </c>
      <c r="B76" s="115"/>
    </row>
    <row r="77" spans="1:2" ht="1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203125" defaultRowHeight="12.4"/>
  <cols>
    <col min="1" max="1" width="1.5859375" style="113" customWidth="1"/>
    <col min="2" max="2" width="35.5859375" style="113" customWidth="1"/>
    <col min="3" max="3" width="105.5859375" style="113" customWidth="1"/>
    <col min="4" max="5" width="1.5859375" style="113" customWidth="1"/>
    <col min="6" max="6" width="4.5859375" style="113" customWidth="1"/>
    <col min="7" max="7" width="4.8203125" style="113" customWidth="1"/>
    <col min="8" max="16384" width="8.8203125" style="113"/>
  </cols>
  <sheetData>
    <row r="1" spans="1:5" ht="12.75" thickTop="1">
      <c r="A1" s="371"/>
      <c r="B1" s="372"/>
      <c r="C1" s="372"/>
      <c r="D1" s="373"/>
    </row>
    <row r="2" spans="1:5" ht="71.25" customHeight="1">
      <c r="A2" s="87"/>
      <c r="B2" s="167" t="str">
        <f ca="1">OFFSET(L!$C$1,MATCH("Definitions"&amp;ADDRESS(ROW(),COLUMN(),4),L!$A:$A,0)-1,SL,,)</f>
        <v>Posten</v>
      </c>
      <c r="C2" s="167" t="str">
        <f ca="1">OFFSET(L!$C$1,MATCH("Definitions"&amp;ADDRESS(ROW(),COLUMN(),4),L!$A:$A,0)-1,SL,,)</f>
        <v>Definition</v>
      </c>
      <c r="D2" s="375"/>
      <c r="E2" s="127"/>
    </row>
    <row r="3" spans="1:5" ht="64.05" customHeight="1">
      <c r="A3" s="87"/>
      <c r="B3" s="74" t="str">
        <f ca="1">OFFSET(L!$C$1,MATCH("Definitions"&amp;ADDRESS(ROW(),COLUMN(),4),L!$A:$A,0)-1,SL,,)</f>
        <v>3TG</v>
      </c>
      <c r="C3" s="74" t="str">
        <f ca="1">OFFSET(L!$C$1,MATCH("Definitions"&amp;ADDRESS(ROW(),COLUMN(),4),L!$A:$A,0)-1,SL,,)</f>
        <v>Zinn, Tantal, Wolfram, gold</v>
      </c>
      <c r="D3" s="375"/>
      <c r="E3" s="128" t="s">
        <v>1335</v>
      </c>
    </row>
    <row r="4" spans="1:5" ht="63.75" customHeight="1">
      <c r="A4" s="87"/>
      <c r="B4" s="74" t="str">
        <f ca="1">OFFSET(L!$C$1,MATCH("Definitions"&amp;ADDRESS(ROW(),COLUMN(),4),L!$A:$A,0)-1,SL,,)</f>
        <v>Bevollmächtigter</v>
      </c>
      <c r="C4" s="74"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75"/>
      <c r="E4" s="128"/>
    </row>
    <row r="5" spans="1:5" ht="64.5" customHeight="1">
      <c r="A5" s="87"/>
      <c r="B5" s="74" t="str">
        <f ca="1">OFFSET(L!$C$1,MATCH("Definitions"&amp;ADDRESS(ROW(),COLUMN(),4),L!$A:$A,0)-1,SL,,)</f>
        <v>Konflikt- und Hochrisikogebiete (CAHRA)</v>
      </c>
      <c r="C5" s="74"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75"/>
      <c r="E5" s="128"/>
    </row>
    <row r="6" spans="1:5" ht="102.4">
      <c r="A6" s="87"/>
      <c r="B6" s="74" t="str">
        <f ca="1">OFFSET(L!$C$1,MATCH("Definitions"&amp;ADDRESS(ROW(),COLUMN(),4),L!$A:$A,0)-1,SL,,)</f>
        <v>Konfliktmineral</v>
      </c>
      <c r="C6" s="74"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75"/>
      <c r="E6" s="128" t="s">
        <v>1336</v>
      </c>
    </row>
    <row r="7" spans="1:5" ht="75" customHeight="1">
      <c r="A7" s="87"/>
      <c r="B7" s="74" t="str">
        <f ca="1">OFFSET(L!$C$1,MATCH("Definitions"&amp;ADDRESS(ROW(),COLUMN(),4),L!$A:$A,0)-1,SL,,)</f>
        <v>umfassendes Land(er)</v>
      </c>
      <c r="C7" s="74"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75"/>
      <c r="E7" s="128" t="s">
        <v>1336</v>
      </c>
    </row>
    <row r="8" spans="1:5" ht="131.65">
      <c r="A8" s="87"/>
      <c r="B8" s="74" t="str">
        <f ca="1">OFFSET(L!$C$1,MATCH("Definitions"&amp;ADDRESS(ROW(),COLUMN(),4),L!$A:$A,0)-1,SL,,)</f>
        <v>Erklärung Anwendungsbereich oder Klasse</v>
      </c>
      <c r="C8" s="74"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75"/>
      <c r="E8" s="128" t="s">
        <v>1339</v>
      </c>
    </row>
    <row r="9" spans="1:5" ht="58.5">
      <c r="A9" s="87"/>
      <c r="B9" s="74" t="str">
        <f ca="1">OFFSET(L!$C$1,MATCH("Definitions"&amp;ADDRESS(ROW(),COLUMN(),4),L!$A:$A,0)-1,SL,,)</f>
        <v>Dodd-Frank</v>
      </c>
      <c r="C9" s="74" t="str">
        <f ca="1">OFFSET(L!$C$1,MATCH("Definitions"&amp;ADDRESS(ROW(),COLUMN(),4),L!$A:$A,0)-1,SL,,)</f>
        <v>2010 US Gesetzgebung, Dodd-Frank-Walls Street Reform and Consumer Protection Art, Section 1502 ("Dodd-Frank") (http://www.sec.gov/about/laws/wallstreetreform-cpa.pdf)</v>
      </c>
      <c r="D9" s="375"/>
      <c r="E9" s="128" t="s">
        <v>1336</v>
      </c>
    </row>
    <row r="10" spans="1:5" ht="43.9">
      <c r="A10" s="87"/>
      <c r="B10" s="74" t="str">
        <f ca="1">OFFSET(L!$C$1,MATCH("Definitions"&amp;ADDRESS(ROW(),COLUMN(),4),L!$A:$A,0)-1,SL,,)</f>
        <v>DRK</v>
      </c>
      <c r="C10" s="74" t="str">
        <f ca="1">OFFSET(L!$C$1,MATCH("Definitions"&amp;ADDRESS(ROW(),COLUMN(),4),L!$A:$A,0)-1,SL,,)</f>
        <v>Demokratische Republik Kongo</v>
      </c>
      <c r="D10" s="375"/>
      <c r="E10" s="128" t="s">
        <v>1335</v>
      </c>
    </row>
    <row r="11" spans="1:5" ht="58.5" hidden="1">
      <c r="A11" s="87"/>
      <c r="B11" s="74" t="str">
        <f ca="1">OFFSET(L!$C$1,MATCH("Definitions"&amp;ADDRESS(ROW(),COLUMN(),4),L!$A:$A,0)-1,SL,,)</f>
        <v>DRK Konflikt-Frei</v>
      </c>
      <c r="C11" s="74"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75"/>
      <c r="E11" s="128" t="s">
        <v>1335</v>
      </c>
    </row>
    <row r="12" spans="1:5" ht="58.5">
      <c r="A12" s="87"/>
      <c r="B12" s="74" t="str">
        <f ca="1">OFFSET(L!$C$1,MATCH("Definitions"&amp;ADDRESS(ROW(),COLUMN(),4),L!$A:$A,0)-1,SL,,)</f>
        <v>Gold (Au) Raffinerie (Schmelzhutte)</v>
      </c>
      <c r="C12" s="74"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75"/>
      <c r="E12" s="128" t="s">
        <v>1335</v>
      </c>
    </row>
    <row r="13" spans="1:5" ht="107.25" customHeight="1">
      <c r="A13" s="87"/>
      <c r="B13" s="74" t="str">
        <f ca="1">OFFSET(L!$C$1,MATCH("Definitions"&amp;ADDRESS(ROW(),COLUMN(),4),L!$A:$A,0)-1,SL,,)</f>
        <v>Unabhängige Private Wirtschaftsprüfungsgesellschaft</v>
      </c>
      <c r="C13" s="74"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75"/>
      <c r="E13" s="128" t="s">
        <v>1337</v>
      </c>
    </row>
    <row r="14" spans="1:5" ht="303.75" customHeight="1">
      <c r="A14" s="87"/>
      <c r="B14" s="74" t="str">
        <f ca="1">OFFSET(L!$C$1,MATCH("Definitions"&amp;ADDRESS(ROW(),COLUMN(),4),L!$A:$A,0)-1,SL,,)</f>
        <v>Absichtlich hinzugefügt</v>
      </c>
      <c r="C14" s="74"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75"/>
      <c r="E14" s="128" t="s">
        <v>1335</v>
      </c>
    </row>
    <row r="15" spans="1:5" ht="117">
      <c r="A15" s="87"/>
      <c r="B15" s="74" t="str">
        <f ca="1">OFFSET(L!$C$1,MATCH("Definitions"&amp;ADDRESS(ROW(),COLUMN(),4),L!$A:$A,0)-1,SL,,)</f>
        <v>IPC</v>
      </c>
      <c r="C15" s="74"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75"/>
      <c r="E15" s="128" t="s">
        <v>1335</v>
      </c>
    </row>
    <row r="16" spans="1:5" ht="58.5">
      <c r="A16" s="87"/>
      <c r="B16" s="74" t="str">
        <f ca="1">OFFSET(L!$C$1,MATCH("Definitions"&amp;ADDRESS(ROW(),COLUMN(),4),L!$A:$A,0)-1,SL,,)</f>
        <v>IPC-1755 Responsible Minerals Data Exchange Standard</v>
      </c>
      <c r="C16" s="74"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75"/>
      <c r="E16" s="128" t="s">
        <v>1335</v>
      </c>
    </row>
    <row r="17" spans="1:5" ht="175.5">
      <c r="A17" s="87"/>
      <c r="B17" s="74" t="str">
        <f ca="1">OFFSET(L!$C$1,MATCH("Definitions"&amp;ADDRESS(ROW(),COLUMN(),4),L!$A:$A,0)-1,SL,,)</f>
        <v>Erforderlich für die Funktionalität des Produkts</v>
      </c>
      <c r="C17" s="74"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75"/>
      <c r="E17" s="128" t="s">
        <v>1335</v>
      </c>
    </row>
    <row r="18" spans="1:5" ht="146.25">
      <c r="A18" s="87"/>
      <c r="B18" s="74" t="str">
        <f ca="1">OFFSET(L!$C$1,MATCH("Definitions"&amp;ADDRESS(ROW(),COLUMN(),4),L!$A:$A,0)-1,SL,,)</f>
        <v>Erforderlich für die Herstellung eines Produkt</v>
      </c>
      <c r="C18" s="74"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75"/>
      <c r="E18" s="128" t="s">
        <v>1335</v>
      </c>
    </row>
    <row r="19" spans="1:5" ht="14.65">
      <c r="A19" s="87"/>
      <c r="B19" s="74" t="str">
        <f ca="1">OFFSET(L!$C$1,MATCH("Definitions"&amp;ADDRESS(ROW(),COLUMN(),4),L!$A:$A,0)-1,SL,,)</f>
        <v>OECD</v>
      </c>
      <c r="C19" s="74" t="str">
        <f ca="1">OFFSET(L!$C$1,MATCH("Definitions"&amp;ADDRESS(ROW(),COLUMN(),4),L!$A:$A,0)-1,SL,,)</f>
        <v>Organisation für wirtschaftliche Zusammenarbeit und Entwicklung</v>
      </c>
      <c r="D19" s="375"/>
      <c r="E19" s="128"/>
    </row>
    <row r="20" spans="1:5" ht="29.25">
      <c r="A20" s="87"/>
      <c r="B20" s="74" t="str">
        <f ca="1">OFFSET(L!$C$1,MATCH("Definitions"&amp;ADDRESS(ROW(),COLUMN(),4),L!$A:$A,0)-1,SL,,)</f>
        <v>Produkt</v>
      </c>
      <c r="C20" s="74"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75"/>
      <c r="E20" s="128"/>
    </row>
    <row r="21" spans="1:5" ht="14.6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Recycling oder Schrott Quellen</v>
      </c>
      <c r="C22" s="74"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75"/>
      <c r="E22" s="128"/>
    </row>
    <row r="23" spans="1:5" ht="58.5">
      <c r="A23" s="87"/>
      <c r="B23" s="74" t="str">
        <f ca="1">OFFSET(L!$C$1,MATCH("Definitions"&amp;ADDRESS(ROW(),COLUMN(),4),L!$A:$A,0)-1,SL,,)</f>
        <v>Responsible Minerals Assurance Process (RMAP)</v>
      </c>
      <c r="C23" s="74"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75"/>
      <c r="E24" s="128"/>
    </row>
    <row r="25" spans="1:5" ht="131.65">
      <c r="A25" s="87"/>
      <c r="B25" s="74" t="str">
        <f ca="1">OFFSET(L!$C$1,MATCH("Definitions"&amp;ADDRESS(ROW(),COLUMN(),4),L!$A:$A,0)-1,SL,,)</f>
        <v>RMAP Compliant Smelter Liste</v>
      </c>
      <c r="C25" s="74"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75"/>
      <c r="E25" s="128" t="s">
        <v>1335</v>
      </c>
    </row>
    <row r="26" spans="1:5" ht="73.150000000000006">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58.5">
      <c r="A27" s="87"/>
      <c r="B27" s="74" t="str">
        <f ca="1">OFFSET(L!$C$1,MATCH("Definitions"&amp;ADDRESS(ROW(),COLUMN(),4),L!$A:$A,0)-1,SL,,)</f>
        <v>Schmelzhütte</v>
      </c>
      <c r="C27" s="74"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75"/>
      <c r="E27" s="128" t="s">
        <v>1335</v>
      </c>
    </row>
    <row r="28" spans="1:5" ht="58.5">
      <c r="A28" s="87"/>
      <c r="B28" s="74" t="str">
        <f ca="1">OFFSET(L!$C$1,MATCH("Definitions"&amp;ADDRESS(ROW(),COLUMN(),4),L!$A:$A,0)-1,SL,,)</f>
        <v>Schmelzhütte Id-Nummer</v>
      </c>
      <c r="C28" s="74"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75"/>
      <c r="E28" s="128" t="s">
        <v>1336</v>
      </c>
    </row>
    <row r="29" spans="1:5" ht="108" customHeight="1">
      <c r="A29" s="87"/>
      <c r="B29" s="74" t="str">
        <f ca="1">OFFSET(L!$C$1,MATCH("Definitions"&amp;ADDRESS(ROW(),COLUMN(),4),L!$A:$A,0)-1,SL,,)</f>
        <v>Tantal (Ta) Schmelzhütte</v>
      </c>
      <c r="C29" s="74"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75"/>
      <c r="E29" s="128" t="s">
        <v>1337</v>
      </c>
    </row>
    <row r="30" spans="1:5" ht="121.5" customHeight="1">
      <c r="A30" s="87"/>
      <c r="B30" s="74" t="str">
        <f ca="1">OFFSET(L!$C$1,MATCH("Definitions"&amp;ADDRESS(ROW(),COLUMN(),4),L!$A:$A,0)-1,SL,,)</f>
        <v>Zinn (Sn) Schmelzhütte</v>
      </c>
      <c r="C30" s="74"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v>
      </c>
      <c r="D30" s="375"/>
      <c r="E30" s="128" t="s">
        <v>1338</v>
      </c>
    </row>
    <row r="31" spans="1:5" ht="137" customHeight="1">
      <c r="A31" s="87"/>
      <c r="B31" s="74" t="str">
        <f ca="1">OFFSET(L!$C$1,MATCH("Definitions"&amp;ADDRESS(ROW(),COLUMN(),4),L!$A:$A,0)-1,SL,,)</f>
        <v>Wolfram (W) Schmelzhütte</v>
      </c>
      <c r="C31" s="74"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75"/>
      <c r="E31" s="128"/>
    </row>
    <row r="32" spans="1:5" ht="14.65">
      <c r="A32" s="87"/>
      <c r="B32" s="374" t="str">
        <f ca="1">OFFSET(L!$C$1,MATCH("General"&amp;"Cpy",L!$A:$A,0)-1,SL,,)</f>
        <v>© 2020 Responsible Minerals Initiative. All rights reserved.</v>
      </c>
      <c r="C32" s="374"/>
      <c r="D32" s="375"/>
      <c r="E32" s="128"/>
    </row>
    <row r="33" spans="1:4" ht="12.75" thickBot="1">
      <c r="A33" s="88"/>
      <c r="B33" s="185"/>
      <c r="C33" s="185"/>
      <c r="D33" s="376"/>
    </row>
    <row r="34" spans="1:4" ht="12.7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64" sqref="G64:J64"/>
    </sheetView>
  </sheetViews>
  <sheetFormatPr baseColWidth="10"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style="113" hidden="1" customWidth="1"/>
    <col min="13" max="15" width="4.8203125" style="113" hidden="1" customWidth="1"/>
    <col min="16" max="23" width="9.17578125" hidden="1" customWidth="1"/>
    <col min="24" max="24" width="9.17578125" customWidth="1"/>
  </cols>
  <sheetData>
    <row r="1" spans="1:34" ht="15" thickTop="1">
      <c r="A1" s="399"/>
      <c r="B1" s="400"/>
      <c r="C1" s="400"/>
      <c r="D1" s="400"/>
      <c r="E1" s="400"/>
      <c r="F1" s="400"/>
      <c r="G1" s="400"/>
      <c r="H1" s="400"/>
      <c r="I1" s="400"/>
      <c r="J1" s="400"/>
      <c r="K1" s="401"/>
      <c r="L1" s="139"/>
      <c r="M1" s="130"/>
      <c r="N1" s="130"/>
      <c r="O1" s="131"/>
      <c r="P1" s="12"/>
      <c r="Q1" s="12"/>
      <c r="R1" s="12"/>
      <c r="S1" s="12"/>
      <c r="T1" s="12"/>
      <c r="U1" s="12"/>
      <c r="V1" s="12"/>
      <c r="W1" s="12"/>
      <c r="X1" s="12"/>
      <c r="Y1" s="12"/>
      <c r="Z1" s="12"/>
      <c r="AA1" s="12"/>
      <c r="AB1" s="12"/>
      <c r="AC1" s="12"/>
      <c r="AD1" s="12"/>
      <c r="AE1" s="12"/>
      <c r="AF1" s="12"/>
      <c r="AG1" s="12"/>
      <c r="AH1" s="12"/>
    </row>
    <row r="2" spans="1:34" ht="82.45" customHeight="1">
      <c r="A2" s="45"/>
      <c r="B2" s="166"/>
      <c r="C2" s="46"/>
      <c r="D2" s="402" t="str">
        <f ca="1">OFFSET(L!$C$1,MATCH("Declaration"&amp;ADDRESS(ROW(),COLUMN(),4),L!$A:$A,0)-1,SL,,)</f>
        <v>Conflict Minerals Reporting Template (CMRT)</v>
      </c>
      <c r="E2" s="403"/>
      <c r="F2" s="403"/>
      <c r="G2" s="403"/>
      <c r="H2" s="403"/>
      <c r="I2" s="403"/>
      <c r="J2" s="40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546</v>
      </c>
      <c r="E3" s="12"/>
      <c r="F3" s="412"/>
      <c r="G3" s="412"/>
      <c r="H3" s="412"/>
      <c r="I3" s="184"/>
      <c r="J3" s="168" t="s">
        <v>15505</v>
      </c>
      <c r="K3" s="47"/>
      <c r="L3" s="139"/>
      <c r="M3" s="130"/>
      <c r="N3" s="130"/>
      <c r="O3" s="131"/>
      <c r="P3" s="144">
        <f>MATCH($D$3,LN,0)</f>
        <v>7</v>
      </c>
    </row>
    <row r="4" spans="1:34" ht="15">
      <c r="A4" s="45"/>
      <c r="B4" s="408" t="str">
        <f ca="1">OFFSET(L!$C$1,MATCH("Declaration"&amp;ADDRESS(ROW(),COLUMN(),4),L!$A:$A,0)-1,SL,,)</f>
        <v>Der Zweck dieses Dokuments ist die Erfassung von Beschaffungsinformationen für Zinn, Tantal, Wolfram und Gold, welche in Produkten genutzt werden.</v>
      </c>
      <c r="C4" s="408"/>
      <c r="D4" s="408"/>
      <c r="E4" s="408"/>
      <c r="F4" s="408"/>
      <c r="G4" s="408"/>
      <c r="H4" s="408"/>
      <c r="I4" s="413" t="str">
        <f ca="1">OFFSET(L!$C$1,MATCH("Declaration"&amp;ADDRESS(ROW(),COLUMN(),4),L!$A:$A,0)-1,SL,,)</f>
        <v>Link zu den Bedingungen</v>
      </c>
      <c r="J4" s="413"/>
      <c r="K4" s="47"/>
      <c r="L4" s="141"/>
      <c r="M4" s="130"/>
      <c r="N4" s="130"/>
      <c r="O4" s="131"/>
      <c r="P4" s="12"/>
      <c r="Q4" s="12"/>
      <c r="R4" s="12"/>
      <c r="S4" s="12"/>
      <c r="T4" s="12"/>
      <c r="U4" s="12"/>
      <c r="V4" s="12"/>
      <c r="W4" s="12"/>
      <c r="X4" s="12"/>
      <c r="Y4" s="12"/>
      <c r="Z4" s="12"/>
      <c r="AA4" s="12"/>
      <c r="AB4" s="12"/>
      <c r="AC4" s="12"/>
      <c r="AD4" s="12"/>
      <c r="AE4" s="12"/>
      <c r="AF4" s="12"/>
      <c r="AG4" s="12"/>
      <c r="AH4" s="12"/>
    </row>
    <row r="5" spans="1:34" ht="14.6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29.25">
      <c r="A6" s="45"/>
      <c r="B6" s="408" t="str">
        <f ca="1">OFFSET(L!$C$1,MATCH("Declaration"&amp;ADDRESS(ROW(),COLUMN(),4),L!$A:$A,0)-1,SL,,)</f>
        <v>Pflichtfelder sind mit einem Sternchen (*) gekennzeichnet.  Im Tab „Instruktionen“ finden Sie eine Anleitung zur Beantwortung aller Fragen.</v>
      </c>
      <c r="C6" s="408"/>
      <c r="D6" s="408"/>
      <c r="E6" s="408"/>
      <c r="F6" s="408"/>
      <c r="G6" s="408"/>
      <c r="H6" s="408"/>
      <c r="I6" s="408"/>
      <c r="J6" s="40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17" t="str">
        <f ca="1">OFFSET(L!$C$1,MATCH("Declaration"&amp;ADDRESS(ROW(),COLUMN(),4),L!$A:$A,0)-1,SL,,)</f>
        <v>Firmenangaben</v>
      </c>
      <c r="C7" s="417"/>
      <c r="D7" s="417"/>
      <c r="E7" s="417"/>
      <c r="F7" s="417"/>
      <c r="G7" s="417"/>
      <c r="H7" s="417"/>
      <c r="I7" s="417"/>
      <c r="J7" s="41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Firmenname (*):</v>
      </c>
      <c r="C8" s="89"/>
      <c r="D8" s="405" t="s">
        <v>15506</v>
      </c>
      <c r="E8" s="406"/>
      <c r="F8" s="406"/>
      <c r="G8" s="406"/>
      <c r="H8" s="406"/>
      <c r="I8" s="406"/>
      <c r="J8" s="40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Geltungsbereich der Erklärung (*):</v>
      </c>
      <c r="C9" s="89"/>
      <c r="D9" s="414" t="s">
        <v>506</v>
      </c>
      <c r="E9" s="415"/>
      <c r="F9" s="415"/>
      <c r="G9" s="41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8" t="str">
        <f ca="1">OFFSET(L!$C$1,MATCH("Declaration"&amp;ADDRESS(ROW(),COLUMN(),4)&amp;LEFT($D$9,1),L!$A:$A,0)-1,SL,,)</f>
        <v>Beschreibung des Geltungsbereichs (*):</v>
      </c>
      <c r="C10" s="151"/>
      <c r="D10" s="409" t="s">
        <v>16610</v>
      </c>
      <c r="E10" s="410"/>
      <c r="F10" s="410"/>
      <c r="G10" s="410"/>
      <c r="H10" s="410"/>
      <c r="I10" s="410"/>
      <c r="J10" s="41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19"/>
      <c r="C11" s="151"/>
      <c r="D11" s="428" t="str">
        <f ca="1">IF(D9=Q9,OFFSET(L!$C$1,MATCH("Declaration"&amp;ADDRESS(ROW(),COLUMN(),4),L!$A:$A,0)-1,SL,,),"")</f>
        <v/>
      </c>
      <c r="E11" s="429"/>
      <c r="F11" s="429"/>
      <c r="G11" s="429"/>
      <c r="H11" s="429"/>
      <c r="I11" s="429"/>
      <c r="J11" s="43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Eindeutige Unternehmenskennung:</v>
      </c>
      <c r="C12" s="90"/>
      <c r="D12" s="391" t="s">
        <v>16611</v>
      </c>
      <c r="E12" s="392"/>
      <c r="F12" s="392"/>
      <c r="G12" s="392"/>
      <c r="H12" s="392"/>
      <c r="I12" s="392"/>
      <c r="J12" s="39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Zuständige Stelle im Unternehmen:</v>
      </c>
      <c r="C13" s="90"/>
      <c r="D13" s="391" t="s">
        <v>16612</v>
      </c>
      <c r="E13" s="392"/>
      <c r="F13" s="392"/>
      <c r="G13" s="392"/>
      <c r="H13" s="392"/>
      <c r="I13" s="392"/>
      <c r="J13" s="39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Adresse:</v>
      </c>
      <c r="C14" s="90"/>
      <c r="D14" s="391" t="s">
        <v>16613</v>
      </c>
      <c r="E14" s="392"/>
      <c r="F14" s="392"/>
      <c r="G14" s="392"/>
      <c r="H14" s="392"/>
      <c r="I14" s="392"/>
      <c r="J14" s="39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Name des Ansprechpartners (*):</v>
      </c>
      <c r="C15" s="90"/>
      <c r="D15" s="391" t="s">
        <v>16614</v>
      </c>
      <c r="E15" s="392"/>
      <c r="F15" s="392"/>
      <c r="G15" s="392"/>
      <c r="H15" s="392"/>
      <c r="I15" s="392"/>
      <c r="J15" s="39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E-Mail-Adresse des Ansprechpartners (*):</v>
      </c>
      <c r="C16" s="90"/>
      <c r="D16" s="420" t="s">
        <v>16615</v>
      </c>
      <c r="E16" s="421"/>
      <c r="F16" s="421"/>
      <c r="G16" s="421"/>
      <c r="H16" s="421"/>
      <c r="I16" s="421"/>
      <c r="J16" s="42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Telefonnummer des Ansprechpartners (*):</v>
      </c>
      <c r="C17" s="90"/>
      <c r="D17" s="391" t="s">
        <v>16616</v>
      </c>
      <c r="E17" s="392"/>
      <c r="F17" s="392"/>
      <c r="G17" s="392"/>
      <c r="H17" s="392"/>
      <c r="I17" s="392"/>
      <c r="J17" s="39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9">
      <c r="A18" s="49"/>
      <c r="B18" s="51" t="str">
        <f ca="1">OFFSET(L!$C$1,MATCH("Declaration"&amp;ADDRESS(ROW(),COLUMN(),4),L!$A:$A,0)-1,SL,,)</f>
        <v>Bevollmächtigter (*):</v>
      </c>
      <c r="C18" s="90"/>
      <c r="D18" s="391" t="s">
        <v>16614</v>
      </c>
      <c r="E18" s="392"/>
      <c r="F18" s="392"/>
      <c r="G18" s="392"/>
      <c r="H18" s="392"/>
      <c r="I18" s="392"/>
      <c r="J18" s="39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9">
      <c r="A19" s="49"/>
      <c r="B19" s="51" t="str">
        <f ca="1">OFFSET(L!$C$1,MATCH("Declaration"&amp;ADDRESS(ROW(),COLUMN(),4),L!$A:$A,0)-1,SL,,)</f>
        <v>Titel des Bevollmächtigten:</v>
      </c>
      <c r="C19" s="90"/>
      <c r="D19" s="391" t="s">
        <v>16617</v>
      </c>
      <c r="E19" s="392"/>
      <c r="F19" s="392"/>
      <c r="G19" s="392"/>
      <c r="H19" s="392"/>
      <c r="I19" s="392"/>
      <c r="J19" s="39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9">
      <c r="A20" s="49"/>
      <c r="B20" s="51" t="str">
        <f ca="1">OFFSET(L!$C$1,MATCH("Declaration"&amp;ADDRESS(ROW(),COLUMN(),4),L!$A:$A,0)-1,SL,,)</f>
        <v>E-Mail-Adresse des Bevollmächtigten (*):</v>
      </c>
      <c r="C20" s="90"/>
      <c r="D20" s="420" t="s">
        <v>16615</v>
      </c>
      <c r="E20" s="421"/>
      <c r="F20" s="421"/>
      <c r="G20" s="421"/>
      <c r="H20" s="421"/>
      <c r="I20" s="421"/>
      <c r="J20" s="42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Telefonnummer des Bevollmächtigten:</v>
      </c>
      <c r="C21" s="163"/>
      <c r="D21" s="385" t="s">
        <v>16618</v>
      </c>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649999999999999">
      <c r="A22" s="49"/>
      <c r="B22" s="51" t="str">
        <f ca="1">OFFSET(L!$C$1,MATCH("Declaration"&amp;ADDRESS(ROW(),COLUMN(),4),L!$A:$A,0)-1,SL,,)</f>
        <v>Datum (*):</v>
      </c>
      <c r="C22" s="91"/>
      <c r="D22" s="388">
        <v>44158</v>
      </c>
      <c r="E22" s="38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649999999999999">
      <c r="A23" s="52"/>
      <c r="B23" s="92"/>
      <c r="C23" s="20"/>
      <c r="D23" s="425"/>
      <c r="E23" s="42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0" t="str">
        <f ca="1">OFFSET(L!$C$1,MATCH("Declaration"&amp;ADDRESS(ROW(),COLUMN(),4),L!$A:$A,0)-1,SL,,)</f>
        <v>Beantworten Sie die Fragen 1 - 8 entsprechend dem oben angegebenen Geltungsbereich</v>
      </c>
      <c r="C24" s="390"/>
      <c r="D24" s="390"/>
      <c r="E24" s="390"/>
      <c r="F24" s="390"/>
      <c r="G24" s="390"/>
      <c r="H24" s="390"/>
      <c r="I24" s="390"/>
      <c r="J24" s="39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4.25">
      <c r="A25" s="52"/>
      <c r="B25" s="55" t="str">
        <f ca="1">OFFSET(L!$C$1,MATCH("Declaration"&amp;ADDRESS(ROW(),COLUMN(),4),L!$A:$A,0)-1,SL,,)</f>
        <v>1) Wird absichtlich ein 3TG-Mineral im Herstellungsprozess verwendet oder in das/die Produkt(e) aufgenommen? (*)</v>
      </c>
      <c r="C25" s="20"/>
      <c r="D25" s="426" t="str">
        <f ca="1">OFFSET(L!$C$1,MATCH("Declaration"&amp;ADDRESS(ROW(),COLUMN(),4),L!$A:$A,0)-1,SL,,)</f>
        <v>Antwort</v>
      </c>
      <c r="E25" s="426"/>
      <c r="F25" s="21"/>
      <c r="G25" s="55" t="str">
        <f ca="1">OFFSET(L!$C$1,MATCH("Declaration"&amp;ADDRESS(ROW(),COLUMN(),4),L!$A:$A,0)-1,SL,,)</f>
        <v>Kommentare</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9">
      <c r="A26" s="52"/>
      <c r="B26" s="51" t="str">
        <f ca="1">OFFSET(L!$C$1,MATCH("Declaration"&amp;ADDRESS(ROW(),COLUMN(),4),L!$A:$A,0)-1,SL,,)&amp;P26</f>
        <v>Tantal  (*)</v>
      </c>
      <c r="C26" s="46"/>
      <c r="D26" s="377" t="s">
        <v>498</v>
      </c>
      <c r="E26" s="378"/>
      <c r="F26" s="15"/>
      <c r="G26" s="379" t="s">
        <v>16619</v>
      </c>
      <c r="H26" s="380"/>
      <c r="I26" s="380"/>
      <c r="J26" s="38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9">
      <c r="A27" s="52"/>
      <c r="B27" s="51" t="str">
        <f ca="1">OFFSET(L!$C$1,MATCH("Declaration"&amp;ADDRESS(ROW(),COLUMN(),4),L!$A:$A,0)-1,SL,,)&amp;P27</f>
        <v>Zinn  (*)</v>
      </c>
      <c r="C27" s="46"/>
      <c r="D27" s="377" t="s">
        <v>498</v>
      </c>
      <c r="E27" s="378"/>
      <c r="F27" s="15"/>
      <c r="G27" s="379" t="s">
        <v>16619</v>
      </c>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9">
      <c r="A28" s="52"/>
      <c r="B28" s="51" t="str">
        <f ca="1">OFFSET(L!$C$1,MATCH("Declaration"&amp;ADDRESS(ROW(),COLUMN(),4),L!$A:$A,0)-1,SL,,)&amp;P28</f>
        <v>Gold  (*)</v>
      </c>
      <c r="C28" s="46"/>
      <c r="D28" s="377" t="s">
        <v>498</v>
      </c>
      <c r="E28" s="378"/>
      <c r="F28" s="15"/>
      <c r="G28" s="379" t="s">
        <v>16619</v>
      </c>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9">
      <c r="A29" s="52"/>
      <c r="B29" s="51" t="str">
        <f ca="1">OFFSET(L!$C$1,MATCH("Declaration"&amp;ADDRESS(ROW(),COLUMN(),4),L!$A:$A,0)-1,SL,,)&amp;P29</f>
        <v>Wolfram  (*)</v>
      </c>
      <c r="C29" s="46"/>
      <c r="D29" s="377" t="s">
        <v>498</v>
      </c>
      <c r="E29" s="378"/>
      <c r="F29" s="15"/>
      <c r="G29" s="379" t="s">
        <v>16619</v>
      </c>
      <c r="H29" s="380"/>
      <c r="I29" s="380"/>
      <c r="J29" s="38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64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 xml:space="preserve">2) Liegen in dem/den Produkt(en) 3TG-Rückstände vor? </v>
      </c>
      <c r="C31" s="13"/>
      <c r="D31" s="384" t="str">
        <f ca="1">D25</f>
        <v>Antwort</v>
      </c>
      <c r="E31" s="384"/>
      <c r="F31" s="21"/>
      <c r="G31" s="55" t="str">
        <f ca="1">G25</f>
        <v>Kommentare</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9">
      <c r="A32" s="52"/>
      <c r="B32" s="51" t="str">
        <f ca="1">B26</f>
        <v>Tantal  (*)</v>
      </c>
      <c r="C32" s="13"/>
      <c r="D32" s="394" t="s">
        <v>499</v>
      </c>
      <c r="E32" s="395"/>
      <c r="F32" s="58"/>
      <c r="G32" s="379" t="s">
        <v>16620</v>
      </c>
      <c r="H32" s="380"/>
      <c r="I32" s="380"/>
      <c r="J32" s="381"/>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2.9">
      <c r="A33" s="52"/>
      <c r="B33" s="51" t="str">
        <f ca="1">B27</f>
        <v>Zinn  (*)</v>
      </c>
      <c r="C33" s="13"/>
      <c r="D33" s="377" t="s">
        <v>499</v>
      </c>
      <c r="E33" s="378"/>
      <c r="F33" s="58"/>
      <c r="G33" s="379" t="s">
        <v>16620</v>
      </c>
      <c r="H33" s="380"/>
      <c r="I33" s="380"/>
      <c r="J33" s="381"/>
      <c r="K33" s="47"/>
      <c r="L33" s="142"/>
      <c r="M33" s="130"/>
      <c r="N33" s="130"/>
      <c r="O33" s="131"/>
      <c r="P33" s="144" t="str">
        <f>IF(D$33="No","","(*)")</f>
        <v/>
      </c>
      <c r="Q33" s="12"/>
      <c r="R33" s="12"/>
      <c r="S33" s="12"/>
      <c r="T33" s="12"/>
      <c r="U33" s="12"/>
      <c r="V33" s="12"/>
      <c r="W33" s="12"/>
      <c r="X33" s="12"/>
      <c r="Y33" s="12"/>
      <c r="Z33" s="12"/>
      <c r="AA33" s="12"/>
      <c r="AB33" s="12"/>
      <c r="AC33" s="12"/>
      <c r="AD33" s="12"/>
      <c r="AE33" s="12"/>
      <c r="AF33" s="12"/>
      <c r="AG33" s="12"/>
      <c r="AH33" s="12"/>
    </row>
    <row r="34" spans="1:34" ht="22.9">
      <c r="A34" s="52"/>
      <c r="B34" s="51" t="str">
        <f ca="1">B28</f>
        <v>Gold  (*)</v>
      </c>
      <c r="C34" s="13"/>
      <c r="D34" s="377" t="s">
        <v>499</v>
      </c>
      <c r="E34" s="378"/>
      <c r="F34" s="58"/>
      <c r="G34" s="379" t="s">
        <v>16620</v>
      </c>
      <c r="H34" s="380"/>
      <c r="I34" s="380"/>
      <c r="J34" s="381"/>
      <c r="K34" s="47"/>
      <c r="L34" s="142"/>
      <c r="M34" s="130"/>
      <c r="N34" s="130"/>
      <c r="O34" s="131"/>
      <c r="P34" s="144" t="str">
        <f>IF(D$34="No","","(*)")</f>
        <v/>
      </c>
      <c r="Q34" s="12"/>
      <c r="R34" s="12"/>
      <c r="S34" s="12"/>
      <c r="T34" s="12"/>
      <c r="U34" s="12"/>
      <c r="V34" s="12"/>
      <c r="W34" s="12"/>
      <c r="X34" s="12"/>
      <c r="Y34" s="12"/>
      <c r="Z34" s="12"/>
      <c r="AA34" s="12"/>
      <c r="AB34" s="12"/>
      <c r="AC34" s="12"/>
      <c r="AD34" s="12"/>
      <c r="AE34" s="12"/>
      <c r="AF34" s="12"/>
      <c r="AG34" s="12"/>
      <c r="AH34" s="12"/>
    </row>
    <row r="35" spans="1:34" ht="22.9">
      <c r="A35" s="52"/>
      <c r="B35" s="51" t="str">
        <f ca="1">B29</f>
        <v>Wolfram  (*)</v>
      </c>
      <c r="C35" s="13"/>
      <c r="D35" s="377" t="s">
        <v>499</v>
      </c>
      <c r="E35" s="378"/>
      <c r="F35" s="58"/>
      <c r="G35" s="379" t="s">
        <v>16620</v>
      </c>
      <c r="H35" s="380"/>
      <c r="I35" s="380"/>
      <c r="J35" s="381"/>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7.64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Beschaffen Schmelzöfen in Ihrer Lieferkette das 3TG-Mineral aus den umfassten Ländern? (SEC-Begriff, siehe Definitions-Tab)</v>
      </c>
      <c r="C37" s="13"/>
      <c r="D37" s="384" t="str">
        <f ca="1">D25</f>
        <v>Antwort</v>
      </c>
      <c r="E37" s="384"/>
      <c r="F37" s="21"/>
      <c r="G37" s="55" t="str">
        <f ca="1">G25</f>
        <v>Kommentare</v>
      </c>
      <c r="H37" s="424"/>
      <c r="I37" s="424"/>
      <c r="J37" s="424"/>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9">
      <c r="A38" s="52"/>
      <c r="B38" s="51" t="str">
        <f ca="1">OFFSET(L!$C$1,MATCH("Declaration"&amp;ADDRESS(ROW(),COLUMN(),4),L!$A:$A,0)-1,SL,,)&amp;P38</f>
        <v xml:space="preserve">Tantal  </v>
      </c>
      <c r="C38" s="13"/>
      <c r="D38" s="377" t="s">
        <v>500</v>
      </c>
      <c r="E38" s="378"/>
      <c r="F38" s="58"/>
      <c r="G38" s="379" t="s">
        <v>16621</v>
      </c>
      <c r="H38" s="380"/>
      <c r="I38" s="380"/>
      <c r="J38" s="38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9">
      <c r="A39" s="52"/>
      <c r="B39" s="51" t="str">
        <f ca="1">OFFSET(L!$C$1,MATCH("Declaration"&amp;ADDRESS(ROW(),COLUMN(),4),L!$A:$A,0)-1,SL,,)&amp;P39</f>
        <v xml:space="preserve">Zinn  </v>
      </c>
      <c r="C39" s="13"/>
      <c r="D39" s="377" t="s">
        <v>500</v>
      </c>
      <c r="E39" s="378"/>
      <c r="F39" s="58"/>
      <c r="G39" s="379" t="s">
        <v>16621</v>
      </c>
      <c r="H39" s="380"/>
      <c r="I39" s="380"/>
      <c r="J39" s="381"/>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9">
      <c r="A40" s="52"/>
      <c r="B40" s="51" t="str">
        <f ca="1">OFFSET(L!$C$1,MATCH("Declaration"&amp;ADDRESS(ROW(),COLUMN(),4),L!$A:$A,0)-1,SL,,)&amp;P40</f>
        <v xml:space="preserve">Gold  </v>
      </c>
      <c r="C40" s="13"/>
      <c r="D40" s="377" t="s">
        <v>500</v>
      </c>
      <c r="E40" s="378"/>
      <c r="F40" s="58"/>
      <c r="G40" s="379" t="s">
        <v>16621</v>
      </c>
      <c r="H40" s="380"/>
      <c r="I40" s="380"/>
      <c r="J40" s="38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9">
      <c r="A41" s="52"/>
      <c r="B41" s="51" t="str">
        <f ca="1">OFFSET(L!$C$1,MATCH("Declaration"&amp;ADDRESS(ROW(),COLUMN(),4),L!$A:$A,0)-1,SL,,)&amp;P41</f>
        <v xml:space="preserve">Wolfram  </v>
      </c>
      <c r="C41" s="13"/>
      <c r="D41" s="377" t="s">
        <v>500</v>
      </c>
      <c r="E41" s="378"/>
      <c r="F41" s="58"/>
      <c r="G41" s="379" t="s">
        <v>16621</v>
      </c>
      <c r="H41" s="380"/>
      <c r="I41" s="380"/>
      <c r="J41" s="38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64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Beziehen Schmelzereien in Ihrer Lieferkette ihre 3TG aus von Konflikten betroffenen und risikoreichen Gebieten?</v>
      </c>
      <c r="C43" s="13"/>
      <c r="D43" s="384" t="str">
        <f ca="1">D25</f>
        <v>Antwort</v>
      </c>
      <c r="E43" s="384"/>
      <c r="F43" s="21"/>
      <c r="G43" s="55" t="str">
        <f ca="1">G25</f>
        <v>Kommentare</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2" customHeight="1">
      <c r="A44" s="52"/>
      <c r="B44" s="51" t="str">
        <f ca="1">OFFSET(L!$C$1,MATCH("Declaration"&amp;ADDRESS(ROW(),COLUMN(),4),L!$A:$A,0)-1,SL,,)&amp;P44</f>
        <v xml:space="preserve">Tantal  </v>
      </c>
      <c r="C44" s="13"/>
      <c r="D44" s="377" t="s">
        <v>499</v>
      </c>
      <c r="E44" s="378"/>
      <c r="F44" s="58"/>
      <c r="G44" s="379" t="s">
        <v>16621</v>
      </c>
      <c r="H44" s="380"/>
      <c r="I44" s="380"/>
      <c r="J44" s="38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2" customHeight="1">
      <c r="A45" s="52"/>
      <c r="B45" s="51" t="str">
        <f ca="1">OFFSET(L!$C$1,MATCH("Declaration"&amp;ADDRESS(ROW(),COLUMN(),4),L!$A:$A,0)-1,SL,,)&amp;P45</f>
        <v xml:space="preserve">Zinn  </v>
      </c>
      <c r="C45" s="13"/>
      <c r="D45" s="377" t="s">
        <v>499</v>
      </c>
      <c r="E45" s="378"/>
      <c r="F45" s="58"/>
      <c r="G45" s="379" t="s">
        <v>16621</v>
      </c>
      <c r="H45" s="380"/>
      <c r="I45" s="380"/>
      <c r="J45" s="381"/>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2" customHeight="1">
      <c r="A46" s="52"/>
      <c r="B46" s="51" t="str">
        <f ca="1">OFFSET(L!$C$1,MATCH("Declaration"&amp;ADDRESS(ROW(),COLUMN(),4),L!$A:$A,0)-1,SL,,)&amp;P46</f>
        <v xml:space="preserve">Gold  </v>
      </c>
      <c r="C46" s="13"/>
      <c r="D46" s="377" t="s">
        <v>499</v>
      </c>
      <c r="E46" s="378"/>
      <c r="F46" s="58"/>
      <c r="G46" s="379" t="s">
        <v>16621</v>
      </c>
      <c r="H46" s="380"/>
      <c r="I46" s="380"/>
      <c r="J46" s="38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2" customHeight="1">
      <c r="A47" s="52"/>
      <c r="B47" s="51" t="str">
        <f ca="1">OFFSET(L!$C$1,MATCH("Declaration"&amp;ADDRESS(ROW(),COLUMN(),4),L!$A:$A,0)-1,SL,,)&amp;P47</f>
        <v xml:space="preserve">Wolfram  </v>
      </c>
      <c r="C47" s="13"/>
      <c r="D47" s="377" t="s">
        <v>499</v>
      </c>
      <c r="E47" s="378"/>
      <c r="F47" s="58"/>
      <c r="G47" s="379" t="s">
        <v>16621</v>
      </c>
      <c r="H47" s="380"/>
      <c r="I47" s="380"/>
      <c r="J47" s="38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2"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Stammt das für die Funktionalität oder  Herstellung Ihrer Produkte benötigte 3TG-Mineral zu 100 % aus Recycling- oder Schrottquellen? </v>
      </c>
      <c r="C49" s="13"/>
      <c r="D49" s="384" t="str">
        <f ca="1">D25</f>
        <v>Antwort</v>
      </c>
      <c r="E49" s="384"/>
      <c r="F49" s="21"/>
      <c r="G49" s="55" t="str">
        <f ca="1">G25</f>
        <v>Kommentare</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9">
      <c r="A50" s="52"/>
      <c r="B50" s="51" t="str">
        <f ca="1">B38</f>
        <v xml:space="preserve">Tantal  </v>
      </c>
      <c r="C50" s="13"/>
      <c r="D50" s="377" t="s">
        <v>500</v>
      </c>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9">
      <c r="A51" s="52"/>
      <c r="B51" s="51" t="str">
        <f ca="1">B39</f>
        <v xml:space="preserve">Zinn  </v>
      </c>
      <c r="C51" s="13"/>
      <c r="D51" s="377" t="s">
        <v>500</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9">
      <c r="A52" s="52"/>
      <c r="B52" s="51" t="str">
        <f ca="1">B40</f>
        <v xml:space="preserve">Gold  </v>
      </c>
      <c r="C52" s="13"/>
      <c r="D52" s="377" t="s">
        <v>500</v>
      </c>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9">
      <c r="A53" s="52"/>
      <c r="B53" s="51" t="str">
        <f ca="1">B41</f>
        <v xml:space="preserve">Wolfram  </v>
      </c>
      <c r="C53" s="13"/>
      <c r="D53" s="377" t="s">
        <v>500</v>
      </c>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64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Wie hoch ist der Prozentsatz an Lieferanten, die auf Ihre Lieferkettenumfrage geantwortet haben?</v>
      </c>
      <c r="C55" s="13"/>
      <c r="D55" s="384" t="str">
        <f ca="1">D25</f>
        <v>Antwort</v>
      </c>
      <c r="E55" s="384"/>
      <c r="F55" s="21"/>
      <c r="G55" s="55" t="str">
        <f ca="1">G25</f>
        <v>Kommentare</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9">
      <c r="A56" s="52"/>
      <c r="B56" s="51" t="str">
        <f ca="1">B38</f>
        <v xml:space="preserve">Tantal  </v>
      </c>
      <c r="C56" s="46"/>
      <c r="D56" s="382" t="s">
        <v>2628</v>
      </c>
      <c r="E56" s="383"/>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9">
      <c r="A57" s="52"/>
      <c r="B57" s="51" t="str">
        <f ca="1">B39</f>
        <v xml:space="preserve">Zinn  </v>
      </c>
      <c r="C57" s="46"/>
      <c r="D57" s="382" t="s">
        <v>2626</v>
      </c>
      <c r="E57" s="383"/>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9">
      <c r="A58" s="52"/>
      <c r="B58" s="51" t="str">
        <f ca="1">B40</f>
        <v xml:space="preserve">Gold  </v>
      </c>
      <c r="C58" s="46"/>
      <c r="D58" s="382" t="s">
        <v>2627</v>
      </c>
      <c r="E58" s="383"/>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9">
      <c r="A59" s="52"/>
      <c r="B59" s="51" t="str">
        <f ca="1">B41</f>
        <v xml:space="preserve">Wolfram  </v>
      </c>
      <c r="C59" s="46"/>
      <c r="D59" s="382" t="s">
        <v>2629</v>
      </c>
      <c r="E59" s="383"/>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
      <c r="A61" s="52"/>
      <c r="B61" s="161" t="str">
        <f ca="1">OFFSET(L!$C$1,MATCH("Declaration"&amp;ADDRESS(ROW(),COLUMN(),4),L!$A:$A,0)-1,SL,,)&amp;Q$37</f>
        <v xml:space="preserve">7) Haben Sie alle Schmelzhütten ermittelt, die das 3TG-Mineral für Ihre Lieferkette bereitstellen? </v>
      </c>
      <c r="C61" s="13"/>
      <c r="D61" s="384" t="str">
        <f ca="1">D25</f>
        <v>Antwort</v>
      </c>
      <c r="E61" s="384"/>
      <c r="F61" s="21"/>
      <c r="G61" s="55" t="str">
        <f ca="1">G25</f>
        <v>Kommentare</v>
      </c>
      <c r="H61" s="423"/>
      <c r="I61" s="423"/>
      <c r="J61" s="423"/>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9">
      <c r="A62" s="52"/>
      <c r="B62" s="51" t="str">
        <f ca="1">B38</f>
        <v xml:space="preserve">Tantal  </v>
      </c>
      <c r="C62" s="13"/>
      <c r="D62" s="394" t="s">
        <v>499</v>
      </c>
      <c r="E62" s="395"/>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9">
      <c r="A63" s="52"/>
      <c r="B63" s="51" t="str">
        <f ca="1">B39</f>
        <v xml:space="preserve">Zinn  </v>
      </c>
      <c r="C63" s="13"/>
      <c r="D63" s="377" t="s">
        <v>499</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9">
      <c r="A64" s="52"/>
      <c r="B64" s="51" t="str">
        <f ca="1">B40</f>
        <v xml:space="preserve">Gold  </v>
      </c>
      <c r="C64" s="13"/>
      <c r="D64" s="377" t="s">
        <v>499</v>
      </c>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9">
      <c r="A65" s="52"/>
      <c r="B65" s="51" t="str">
        <f ca="1">B41</f>
        <v xml:space="preserve">Wolfram  </v>
      </c>
      <c r="C65" s="13"/>
      <c r="D65" s="377" t="s">
        <v>499</v>
      </c>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
      <c r="A67" s="52"/>
      <c r="B67" s="55" t="str">
        <f ca="1">OFFSET(L!$C$1,MATCH("Declaration"&amp;ADDRESS(ROW(),COLUMN(),4),L!$A:$A,0)-1,SL,,)&amp;Q$37</f>
        <v xml:space="preserve">8) Haben Sie alle relevanten Informationen, die Ihr Unternehmen zu den Schmelzhütten erhalten hat, in dieser Erklärung aufgeführt? </v>
      </c>
      <c r="C67" s="13"/>
      <c r="D67" s="384" t="str">
        <f ca="1">D25</f>
        <v>Antwort</v>
      </c>
      <c r="E67" s="384"/>
      <c r="F67" s="21"/>
      <c r="G67" s="55" t="str">
        <f ca="1">G25</f>
        <v>Kommentare</v>
      </c>
      <c r="H67" s="423" t="str">
        <f>IF(Q75="(*)","Click here to enter smelter names","")</f>
        <v/>
      </c>
      <c r="I67" s="423"/>
      <c r="J67" s="423"/>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9">
      <c r="A68" s="52"/>
      <c r="B68" s="51" t="str">
        <f ca="1">B38</f>
        <v xml:space="preserve">Tantal  </v>
      </c>
      <c r="C68" s="46"/>
      <c r="D68" s="377" t="s">
        <v>498</v>
      </c>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9">
      <c r="A69" s="52"/>
      <c r="B69" s="51" t="str">
        <f ca="1">B39</f>
        <v xml:space="preserve">Zinn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9">
      <c r="A70" s="52"/>
      <c r="B70" s="51" t="str">
        <f ca="1">B40</f>
        <v xml:space="preserve">Gold  </v>
      </c>
      <c r="C70" s="46"/>
      <c r="D70" s="377" t="s">
        <v>498</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9">
      <c r="A71" s="49"/>
      <c r="B71" s="51" t="str">
        <f ca="1">B41</f>
        <v xml:space="preserve">Wolfram  </v>
      </c>
      <c r="C71" s="60"/>
      <c r="D71" s="377" t="s">
        <v>498</v>
      </c>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4.6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4.65">
      <c r="A73" s="52"/>
      <c r="B73" s="437" t="str">
        <f ca="1">OFFSET(L!$C$1,MATCH("Declaration"&amp;ADDRESS(ROW(),COLUMN(),4),L!$A:$A,0)-1,SL,,)</f>
        <v>Beantworten Sie folgende Fragen auf Firmenebene</v>
      </c>
      <c r="C73" s="437"/>
      <c r="D73" s="437"/>
      <c r="E73" s="437"/>
      <c r="F73" s="437"/>
      <c r="G73" s="437"/>
      <c r="H73" s="437"/>
      <c r="I73" s="437"/>
      <c r="J73" s="43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Frage</v>
      </c>
      <c r="C74" s="94"/>
      <c r="D74" s="426" t="str">
        <f ca="1">D25</f>
        <v>Antwort</v>
      </c>
      <c r="E74" s="426"/>
      <c r="F74" s="64"/>
      <c r="G74" s="426" t="str">
        <f ca="1">G25</f>
        <v>Kommentare</v>
      </c>
      <c r="H74" s="426" t="e">
        <f>HLOOKUP(SL,LT,$O74,0)</f>
        <v>#NAME?</v>
      </c>
      <c r="I74" s="42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29.25">
      <c r="A75" s="52"/>
      <c r="B75" s="67" t="str">
        <f ca="1">OFFSET(L!$C$1,MATCH("Declaration"&amp;ADDRESS(ROW(),COLUMN(),4),L!$A:$A,0)-1,SL,,)&amp;$Q$37</f>
        <v>A. Haben Sie eine konflkitfreie Beschaffungsrichtlinie für Mineralien erstellt?</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27"/>
      <c r="H76" s="427"/>
      <c r="I76" s="427"/>
      <c r="J76" s="42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5" customHeight="1">
      <c r="A77" s="52"/>
      <c r="B77" s="67" t="str">
        <f ca="1">OFFSET(L!$C$1,MATCH("Declaration"&amp;ADDRESS(ROW(),COLUMN(),4),L!$A:$A,0)-1,SL,,)&amp;$Q$37</f>
        <v>B. Ist Ihre konflkitfreie Beschaffungsrichtlinie für Mineralien auf Ihrer Website einsehbar? (Hinweis - Wenn „Ja“, sollte der Benutzer die URL im Anmerkungsfeld angeben.)</v>
      </c>
      <c r="C77" s="68"/>
      <c r="D77" s="377" t="s">
        <v>498</v>
      </c>
      <c r="E77" s="378"/>
      <c r="F77" s="68"/>
      <c r="G77" s="396" t="s">
        <v>16622</v>
      </c>
      <c r="H77" s="397"/>
      <c r="I77" s="397"/>
      <c r="J77" s="39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Verlangen Sie von Ihren direkten Lieferanten, das 3TG-Mineral ausschließlich von Schmelzhütten zu beziehen, deren Due-Diligence-Praktiken von einer unabhängigen Instanz überprüft wurden?</v>
      </c>
      <c r="C79" s="68"/>
      <c r="D79" s="377" t="s">
        <v>499</v>
      </c>
      <c r="E79" s="378"/>
      <c r="F79" s="68"/>
      <c r="G79" s="379" t="s">
        <v>16623</v>
      </c>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Haben Sie Sorgfaltspflichtmaßnahmen für die konfliktfreie Beschaffung in Kraft gesetzt?</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Veranstaltet Ihr Unternehmen (eine) Konfliktmineralienumfrage(n) mit seinen entsprechenden Lieferanten?</v>
      </c>
      <c r="C83" s="68"/>
      <c r="D83" s="377" t="s">
        <v>12721</v>
      </c>
      <c r="E83" s="378"/>
      <c r="F83" s="68"/>
      <c r="G83" s="379" t="s">
        <v>16624</v>
      </c>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4.6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Überprüfen Sie die Due-Diligence-Informationen, die Sie von ihren Lieferanten erhalten, anhand der Erwartungen Ihres Unternehmens?</v>
      </c>
      <c r="C85" s="68"/>
      <c r="D85" s="434" t="s">
        <v>498</v>
      </c>
      <c r="E85" s="435"/>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27"/>
      <c r="H86" s="427"/>
      <c r="I86" s="427"/>
      <c r="J86" s="42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50000000000003" customHeight="1">
      <c r="A87" s="52"/>
      <c r="B87" s="67" t="str">
        <f ca="1">OFFSET(L!$C$1,MATCH("Declaration"&amp;ADDRESS(ROW(),COLUMN(),4),L!$A:$A,0)-1,SL,,)&amp;$Q$37</f>
        <v>G. Sieht Ihr Review-Prozess ein Korrekturmaßnahmen-Management vor?</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36"/>
      <c r="H88" s="436"/>
      <c r="I88" s="436"/>
      <c r="J88" s="43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29.25">
      <c r="A89" s="52"/>
      <c r="B89" s="67" t="str">
        <f ca="1">OFFSET(L!$C$1,MATCH("Declaration"&amp;ADDRESS(ROW(),COLUMN(),4),L!$A:$A,0)-1,SL,,)&amp;$Q$37</f>
        <v>H. Ist Ihr Unternehmen zu einer jährlichen Offenlegung der Konfliktmineralien verpflichtet?</v>
      </c>
      <c r="C89" s="68"/>
      <c r="D89" s="377" t="s">
        <v>499</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4.65">
      <c r="A90" s="52"/>
      <c r="B90" s="433" t="str">
        <f>IF(OR($D$8="",$I$3=""),"","Click here to check required fields completion")</f>
        <v/>
      </c>
      <c r="C90" s="433"/>
      <c r="D90" s="433"/>
      <c r="E90" s="433"/>
      <c r="F90" s="433"/>
      <c r="G90" s="433"/>
      <c r="H90" s="433"/>
      <c r="I90" s="433"/>
      <c r="J90" s="43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 thickBot="1">
      <c r="A91" s="431" t="str">
        <f ca="1">OFFSET(L!$C$1,MATCH("General"&amp;"Cpy",L!$A:$A,0)-1,SL,,)</f>
        <v>© 2020 Responsible Minerals Initiative. All rights reserved.</v>
      </c>
      <c r="B91" s="432"/>
      <c r="C91" s="432"/>
      <c r="D91" s="432"/>
      <c r="E91" s="432"/>
      <c r="F91" s="432"/>
      <c r="G91" s="432"/>
      <c r="H91" s="432"/>
      <c r="I91" s="432"/>
      <c r="J91" s="43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99" priority="63" stopIfTrue="1">
      <formula>AND(OR($D$26="No",AND($D$26="Yes",$D$32="No")),OR($D$27="No",AND($D$27="Yes",$D$33="No")),OR($D$28="No",AND($D$28="Yes",$D$34="No")),OR($D$29="No",AND($D$29="Yes",$D$35="No")))</formula>
    </cfRule>
    <cfRule type="expression" dxfId="198" priority="64" stopIfTrue="1">
      <formula>IF(D75="",TRUE)</formula>
    </cfRule>
  </conditionalFormatting>
  <conditionalFormatting sqref="G77:J77">
    <cfRule type="expression" dxfId="197" priority="35" stopIfTrue="1">
      <formula>IF(AND($D$77="Yes",$G$77=""),TRUE)</formula>
    </cfRule>
  </conditionalFormatting>
  <conditionalFormatting sqref="D26:E26">
    <cfRule type="expression" dxfId="196" priority="115" stopIfTrue="1">
      <formula>IF($D$26="",TRUE)</formula>
    </cfRule>
  </conditionalFormatting>
  <conditionalFormatting sqref="D27:E27">
    <cfRule type="expression" dxfId="195" priority="122" stopIfTrue="1">
      <formula>IF($D$27="",TRUE)</formula>
    </cfRule>
  </conditionalFormatting>
  <conditionalFormatting sqref="D28:E28">
    <cfRule type="expression" dxfId="194" priority="123" stopIfTrue="1">
      <formula>IF($D$28="",TRUE)</formula>
    </cfRule>
  </conditionalFormatting>
  <conditionalFormatting sqref="D29:E29">
    <cfRule type="expression" dxfId="193" priority="124" stopIfTrue="1">
      <formula>IF($D$29="",TRUE)</formula>
    </cfRule>
  </conditionalFormatting>
  <conditionalFormatting sqref="D8:J8">
    <cfRule type="expression" dxfId="192" priority="129" stopIfTrue="1">
      <formula>IF($D$8="",TRUE)</formula>
    </cfRule>
  </conditionalFormatting>
  <conditionalFormatting sqref="D9:G9">
    <cfRule type="expression" dxfId="191" priority="130" stopIfTrue="1">
      <formula>IF($D$9="",TRUE)</formula>
    </cfRule>
  </conditionalFormatting>
  <conditionalFormatting sqref="D15:J15">
    <cfRule type="expression" dxfId="190" priority="131" stopIfTrue="1">
      <formula>IF($D$15="",TRUE)</formula>
    </cfRule>
  </conditionalFormatting>
  <conditionalFormatting sqref="D16:J16">
    <cfRule type="expression" dxfId="189" priority="132" stopIfTrue="1">
      <formula>IF($D$16="",TRUE)</formula>
    </cfRule>
  </conditionalFormatting>
  <conditionalFormatting sqref="D17:J17">
    <cfRule type="expression" dxfId="188" priority="133" stopIfTrue="1">
      <formula>IF($D$17="",TRUE)</formula>
    </cfRule>
  </conditionalFormatting>
  <conditionalFormatting sqref="D18:J18">
    <cfRule type="expression" dxfId="187" priority="134" stopIfTrue="1">
      <formula>IF($D$18="",TRUE)</formula>
    </cfRule>
  </conditionalFormatting>
  <conditionalFormatting sqref="D22:E22">
    <cfRule type="expression" dxfId="186" priority="137" stopIfTrue="1">
      <formula>IF($D$22="",TRUE)</formula>
    </cfRule>
  </conditionalFormatting>
  <conditionalFormatting sqref="D10:J10">
    <cfRule type="expression" dxfId="185" priority="34" stopIfTrue="1">
      <formula>IF($D$9=$Q$9,TRUE)</formula>
    </cfRule>
    <cfRule type="expression" dxfId="184" priority="144" stopIfTrue="1">
      <formula>IF(AND($D$10="",$D$9=$R$9),TRUE)</formula>
    </cfRule>
  </conditionalFormatting>
  <conditionalFormatting sqref="D34:E34 D40:E40 D52:E52 D58:E58 D64:E64 D70:E70">
    <cfRule type="expression" dxfId="183" priority="27" stopIfTrue="1">
      <formula>$P$28=""</formula>
    </cfRule>
  </conditionalFormatting>
  <conditionalFormatting sqref="D35:E35 D41:E41 D53:E53 D59:E59 D65:E65 D71:E71">
    <cfRule type="expression" dxfId="182" priority="142" stopIfTrue="1">
      <formula>$P$29=""</formula>
    </cfRule>
  </conditionalFormatting>
  <conditionalFormatting sqref="D32:E32">
    <cfRule type="expression" dxfId="181" priority="120" stopIfTrue="1">
      <formula>$P$26=""</formula>
    </cfRule>
  </conditionalFormatting>
  <conditionalFormatting sqref="D32:E32">
    <cfRule type="expression" dxfId="180" priority="33" stopIfTrue="1">
      <formula>IF(AND(OR($D$26="Yes",$D$26=""),$D$32=""),1,0)</formula>
    </cfRule>
  </conditionalFormatting>
  <conditionalFormatting sqref="D38 D50 D56 D62 D68">
    <cfRule type="expression" dxfId="179" priority="29" stopIfTrue="1">
      <formula>$P$32=""</formula>
    </cfRule>
  </conditionalFormatting>
  <conditionalFormatting sqref="D39:E39 D51 D57 D63 D69">
    <cfRule type="expression" dxfId="178" priority="28" stopIfTrue="1">
      <formula>$P$33=""</formula>
    </cfRule>
  </conditionalFormatting>
  <conditionalFormatting sqref="D40 D52 D58 D64 D70">
    <cfRule type="expression" dxfId="177" priority="18" stopIfTrue="1">
      <formula>$P$34=""</formula>
    </cfRule>
    <cfRule type="expression" dxfId="176" priority="140" stopIfTrue="1">
      <formula>IF(AND(OR($D$28="Yes",$D$28=""),D40=""),1,0)</formula>
    </cfRule>
  </conditionalFormatting>
  <conditionalFormatting sqref="D41 D53 D59 D65 D71">
    <cfRule type="expression" dxfId="175" priority="26" stopIfTrue="1">
      <formula>$P$35=""</formula>
    </cfRule>
  </conditionalFormatting>
  <conditionalFormatting sqref="D38:E38 D50:E50 D56:E56 D62:E62 D68:E68">
    <cfRule type="expression" dxfId="174" priority="31" stopIfTrue="1">
      <formula>$P$26=""</formula>
    </cfRule>
    <cfRule type="expression" dxfId="173" priority="32" stopIfTrue="1">
      <formula>IF(AND(OR($D$26="Yes",$D$26=""),D38=""),1,0)</formula>
    </cfRule>
  </conditionalFormatting>
  <conditionalFormatting sqref="G85:J85">
    <cfRule type="expression" dxfId="172" priority="25" stopIfTrue="1">
      <formula>IF(AND($D$85="Yes, using other format (describe)",$G$85=""),TRUE)</formula>
    </cfRule>
  </conditionalFormatting>
  <conditionalFormatting sqref="D39:E39 D51:E51 D57:E57 D63:E63 D69:E69">
    <cfRule type="expression" dxfId="171" priority="138" stopIfTrue="1">
      <formula>$P$39=""</formula>
    </cfRule>
    <cfRule type="expression" dxfId="170" priority="139" stopIfTrue="1">
      <formula>IF(AND(OR($D$27="Yes",$D$27=""),D39=""),1,0)</formula>
    </cfRule>
  </conditionalFormatting>
  <conditionalFormatting sqref="D33:E33">
    <cfRule type="expression" dxfId="169" priority="20" stopIfTrue="1">
      <formula>IF(AND(OR($D$27="Yes",$D$27=""),$D$33=""),1,0)</formula>
    </cfRule>
    <cfRule type="expression" dxfId="168" priority="21" stopIfTrue="1">
      <formula>$P$27=""</formula>
    </cfRule>
  </conditionalFormatting>
  <conditionalFormatting sqref="D34:E34">
    <cfRule type="expression" dxfId="167" priority="141" stopIfTrue="1">
      <formula>IF(AND(OR($D$28="Yes",$D$28=""),$D$34=""),1,0)</formula>
    </cfRule>
  </conditionalFormatting>
  <conditionalFormatting sqref="D41:E41 D53:E53 D59:E59 D65:E65 D71:E71">
    <cfRule type="expression" dxfId="166" priority="143" stopIfTrue="1">
      <formula>IF(AND(OR($D$29="Yes",$D$29=""),D41=""),1,0)</formula>
    </cfRule>
  </conditionalFormatting>
  <conditionalFormatting sqref="D35:E35">
    <cfRule type="expression" dxfId="165" priority="17" stopIfTrue="1">
      <formula>IF(AND(OR($D$29="Yes",$D$29=""),$D$35=""),1,0)</formula>
    </cfRule>
  </conditionalFormatting>
  <conditionalFormatting sqref="D20:J20">
    <cfRule type="expression" dxfId="164" priority="13" stopIfTrue="1">
      <formula>IF($D$20="",TRUE)</formula>
    </cfRule>
  </conditionalFormatting>
  <conditionalFormatting sqref="D46:E46">
    <cfRule type="expression" dxfId="163" priority="3" stopIfTrue="1">
      <formula>$P$28=""</formula>
    </cfRule>
  </conditionalFormatting>
  <conditionalFormatting sqref="D47:E47">
    <cfRule type="expression" dxfId="162" priority="11" stopIfTrue="1">
      <formula>$P$29=""</formula>
    </cfRule>
  </conditionalFormatting>
  <conditionalFormatting sqref="D44">
    <cfRule type="expression" dxfId="161" priority="5" stopIfTrue="1">
      <formula>$P$32=""</formula>
    </cfRule>
  </conditionalFormatting>
  <conditionalFormatting sqref="D45">
    <cfRule type="expression" dxfId="160" priority="4" stopIfTrue="1">
      <formula>$P$33=""</formula>
    </cfRule>
  </conditionalFormatting>
  <conditionalFormatting sqref="D46">
    <cfRule type="expression" dxfId="159" priority="1" stopIfTrue="1">
      <formula>$P$34=""</formula>
    </cfRule>
    <cfRule type="expression" dxfId="158" priority="10" stopIfTrue="1">
      <formula>IF(AND(OR($D$28="Yes",$D$28=""),D46=""),1,0)</formula>
    </cfRule>
  </conditionalFormatting>
  <conditionalFormatting sqref="D47">
    <cfRule type="expression" dxfId="157" priority="2" stopIfTrue="1">
      <formula>$P$35=""</formula>
    </cfRule>
  </conditionalFormatting>
  <conditionalFormatting sqref="D44:E44">
    <cfRule type="expression" dxfId="156" priority="6" stopIfTrue="1">
      <formula>$P$26=""</formula>
    </cfRule>
    <cfRule type="expression" dxfId="155" priority="7" stopIfTrue="1">
      <formula>IF(AND(OR($D$26="Yes",$D$26=""),D44=""),1,0)</formula>
    </cfRule>
  </conditionalFormatting>
  <conditionalFormatting sqref="D45:E45">
    <cfRule type="expression" dxfId="154" priority="8" stopIfTrue="1">
      <formula>$P$39=""</formula>
    </cfRule>
    <cfRule type="expression" dxfId="153" priority="9" stopIfTrue="1">
      <formula>IF(AND(OR($D$27="Yes",$D$27=""),D45=""),1,0)</formula>
    </cfRule>
  </conditionalFormatting>
  <conditionalFormatting sqref="D47:E47">
    <cfRule type="expression" dxfId="152"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B005CB5A-E1EC-40FF-8521-4780957E65B6}"/>
    <hyperlink ref="D20" r:id="rId4" xr:uid="{0E706B45-597A-4C73-850B-7DD2E3B0FB36}"/>
    <hyperlink ref="G77" r:id="rId5" xr:uid="{E9793A25-104B-4FA8-87C3-0C5AF3FC54A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50" zoomScaleNormal="50" zoomScalePageLayoutView="55" workbookViewId="0">
      <pane ySplit="4" topLeftCell="A8" activePane="bottomLeft" state="frozen"/>
      <selection pane="bottomLeft" activeCell="G284" sqref="G284"/>
    </sheetView>
  </sheetViews>
  <sheetFormatPr baseColWidth="10" defaultColWidth="8.8203125" defaultRowHeight="12.4"/>
  <cols>
    <col min="1" max="1" width="13.5859375" style="277" customWidth="1"/>
    <col min="2" max="2" width="13.3515625" style="282" customWidth="1"/>
    <col min="3" max="3" width="40.5859375" style="282" customWidth="1"/>
    <col min="4" max="4" width="30.5859375" style="282" customWidth="1"/>
    <col min="5" max="5" width="20.8203125" style="282" customWidth="1"/>
    <col min="6" max="7" width="13.8203125" style="282" customWidth="1"/>
    <col min="8" max="8" width="25.17578125" style="282" customWidth="1"/>
    <col min="9" max="9" width="24.17578125" style="282" customWidth="1"/>
    <col min="10" max="10" width="18.3515625" style="282" customWidth="1"/>
    <col min="11" max="11" width="27.3515625" style="282" customWidth="1"/>
    <col min="12" max="12" width="20.5859375" style="282" customWidth="1"/>
    <col min="13" max="13" width="35.17578125" style="282" customWidth="1"/>
    <col min="14" max="14" width="42.17578125" style="282" customWidth="1"/>
    <col min="15" max="15" width="32.17578125" style="282" customWidth="1"/>
    <col min="16" max="16" width="22.8203125" style="282" customWidth="1"/>
    <col min="17" max="17" width="43.5859375" style="282" customWidth="1"/>
    <col min="18" max="18" width="35.8203125" style="282" hidden="1" customWidth="1"/>
    <col min="19" max="20" width="17.8203125" style="282" hidden="1" customWidth="1"/>
    <col min="21" max="21" width="8.8203125" style="281" hidden="1" customWidth="1"/>
    <col min="22" max="22" width="6.17578125" style="281" hidden="1" customWidth="1"/>
    <col min="23" max="23" width="8.5859375" style="281" hidden="1" customWidth="1"/>
    <col min="24" max="24" width="8.8203125" style="281" hidden="1" customWidth="1"/>
    <col min="25" max="26" width="4.3515625" style="281" hidden="1" customWidth="1"/>
    <col min="27" max="27" width="4.3515625" style="282" hidden="1" customWidth="1"/>
    <col min="28" max="28" width="7.8203125" style="282" hidden="1" customWidth="1"/>
    <col min="29" max="33" width="4.3515625" style="282" hidden="1" customWidth="1"/>
    <col min="34" max="34" width="14.5859375" style="282" hidden="1" customWidth="1"/>
    <col min="35" max="39" width="8.8203125" style="282" customWidth="1"/>
    <col min="40" max="16384" width="8.82031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75">
      <c r="A2" s="203"/>
      <c r="B2" s="222" t="str">
        <f ca="1">OFFSET(L!$C$1,MATCH("Smelter List"&amp;ADDRESS(ROW(),COLUMN(),4),L!$A:$A,0)-1,SL,,)</f>
        <v>UM ZU BEGINNEN:</v>
      </c>
      <c r="C2" s="205"/>
      <c r="D2" s="205"/>
      <c r="E2" s="205"/>
      <c r="F2" s="232"/>
      <c r="G2" s="232"/>
      <c r="H2" s="232"/>
      <c r="I2" s="233"/>
      <c r="J2" s="438" t="str">
        <f ca="1">OFFSET(L!$C$1,MATCH("Smelter List"&amp;ADDRESS(ROW(),COLUMN(),4),L!$A:$A,0)-1,SL,,)</f>
        <v>Link zur "RMAP Conformant Smelter"- Liste</v>
      </c>
      <c r="K2" s="439"/>
      <c r="L2" s="439"/>
      <c r="M2" s="439"/>
      <c r="N2" s="439"/>
      <c r="O2" s="439"/>
      <c r="P2" s="234"/>
      <c r="Q2" s="235"/>
      <c r="R2" s="236"/>
      <c r="S2" s="236"/>
      <c r="T2" s="236"/>
      <c r="U2" s="267"/>
      <c r="V2" s="267"/>
      <c r="W2" s="268"/>
      <c r="X2" s="267"/>
      <c r="Y2" s="267"/>
      <c r="Z2" s="267"/>
      <c r="AH2" s="176" t="s">
        <v>498</v>
      </c>
    </row>
    <row r="3" spans="1:34" s="269" customFormat="1" ht="244.05" customHeight="1">
      <c r="A3" s="204"/>
      <c r="B3" s="440"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0"/>
      <c r="D3" s="440"/>
      <c r="E3" s="440"/>
      <c r="F3" s="270"/>
      <c r="G3" s="441" t="str">
        <f ca="1">OFFSET(L!$C$1,MATCH("General"&amp;"Cpy",L!$A:$A,0)-1,SL,,)</f>
        <v>© 2020 Responsible Minerals Initiative. All rights reserved.</v>
      </c>
      <c r="H3" s="441"/>
      <c r="I3" s="442"/>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 xml:space="preserve">Eingabespalte Schmelzofenidentifizierungsnummer </v>
      </c>
      <c r="B4" s="261" t="str">
        <f ca="1">OFFSET(L!$C$1,MATCH("Smelter List"&amp;ADDRESS(ROW(),COLUMN(),4),L!$A:$A,0)-1,SL,,)</f>
        <v>Metall (1)</v>
      </c>
      <c r="C4" s="261" t="str">
        <f ca="1">OFFSET(L!$C$1,MATCH("Smelter List"&amp;ADDRESS(ROW(),COLUMN(),4),L!$A:$A,0)-1,SL,,)</f>
        <v>Schmelzofensuche (*)</v>
      </c>
      <c r="D4" s="261" t="str">
        <f ca="1">OFFSET(L!$C$1,MATCH("Smelter List"&amp;ADDRESS(ROW(),COLUMN(),4),L!$A:$A,0)-1,SL,,)</f>
        <v>Schmelzofenname (1)</v>
      </c>
      <c r="E4" s="261" t="str">
        <f ca="1">OFFSET(L!$C$1,MATCH("Smelter List"&amp;ADDRESS(ROW(),COLUMN(),4),L!$A:$A,0)-1,SL,,)</f>
        <v>Schmelzhütten: Land (*)</v>
      </c>
      <c r="F4" s="261" t="str">
        <f ca="1">OFFSET(L!$C$1,MATCH("Smelter List"&amp;ADDRESS(ROW(),COLUMN(),4),L!$A:$A,0)-1,SL,,)</f>
        <v>Schmelzhütte Identifizierung</v>
      </c>
      <c r="G4" s="261" t="str">
        <f ca="1">OFFSET(L!$C$1,MATCH("Smelter List"&amp;ADDRESS(ROW(),COLUMN(),4),L!$A:$A,0)-1,SL,,)</f>
        <v>Quelle der Schmelzhütte Id-Nummer</v>
      </c>
      <c r="H4" s="175" t="str">
        <f ca="1">OFFSET(L!$C$1,MATCH("Smelter List"&amp;ADDRESS(ROW(),COLUMN(),4),L!$A:$A,0)-1,SL,,)</f>
        <v>Schmelzhütten: Straße</v>
      </c>
      <c r="I4" s="175" t="str">
        <f ca="1">OFFSET(L!$C$1,MATCH("Smelter List"&amp;ADDRESS(ROW(),COLUMN(),4),L!$A:$A,0)-1,SL,,)</f>
        <v>Schmelzhütten: Stadt</v>
      </c>
      <c r="J4" s="175" t="str">
        <f ca="1">OFFSET(L!$C$1,MATCH("Smelter List"&amp;ADDRESS(ROW(),COLUMN(),4),L!$A:$A,0)-1,SL,,)</f>
        <v>Schmelzhütten: Bundesland/Provinz</v>
      </c>
      <c r="K4" s="175" t="str">
        <f ca="1">OFFSET(L!$C$1,MATCH("Smelter List"&amp;ADDRESS(ROW(),COLUMN(),4),L!$A:$A,0)-1,SL,,)</f>
        <v xml:space="preserve">Schmelzhütten-Ansprechpartner: Name </v>
      </c>
      <c r="L4" s="175" t="str">
        <f ca="1">OFFSET(L!$C$1,MATCH("Smelter List"&amp;ADDRESS(ROW(),COLUMN(),4),L!$A:$A,0)-1,SL,,)</f>
        <v>Schmelzhütten-Ansprechpartner: E-mail</v>
      </c>
      <c r="M4" s="175" t="str">
        <f ca="1">OFFSET(L!$C$1,MATCH("Smelter List"&amp;ADDRESS(ROW(),COLUMN(),4),L!$A:$A,0)-1,SL,,)</f>
        <v>Vorgeschlagenen nächsten Schritte</v>
      </c>
      <c r="N4" s="175" t="str">
        <f ca="1">OFFSET(L!$C$1,MATCH("Smelter List"&amp;ADDRESS(ROW(),COLUMN(),4),L!$A:$A,0)-1,SL,,)</f>
        <v>Name der Mine(n) oder falls aus Recycling oder Schrott, tragen Sie "recycled" oder "Schrott" ein</v>
      </c>
      <c r="O4" s="175" t="str">
        <f ca="1">OFFSET(L!$C$1,MATCH("Smelter List"&amp;ADDRESS(ROW(),COLUMN(),4),L!$A:$A,0)-1,SL,,)</f>
        <v>Standort (Land) von Minen, falls aus Recycling oder Schrott gekauft, geben Sie "recycled" oder "Schrott" ein</v>
      </c>
      <c r="P4" s="175" t="str">
        <f ca="1">OFFSET(L!$C$1,MATCH("Smelter List"&amp;ADDRESS(ROW(),COLUMN(),4),L!$A:$A,0)-1,SL,,)</f>
        <v>Stammen 100% der Ausgangsstoffe der Schmelzhütte aus Recycling oder Schrott?</v>
      </c>
      <c r="Q4" s="176" t="str">
        <f ca="1">OFFSET(L!$C$1,MATCH("Smelter List"&amp;ADDRESS(ROW(),COLUMN(),4),L!$A:$A,0)-1,SL,,)</f>
        <v>Kommentare</v>
      </c>
      <c r="R4" s="261" t="s">
        <v>12747</v>
      </c>
      <c r="S4" s="261" t="s">
        <v>12730</v>
      </c>
      <c r="T4" s="261" t="s">
        <v>12731</v>
      </c>
      <c r="U4" s="239"/>
      <c r="V4" s="192"/>
      <c r="W4" s="192" t="s">
        <v>1347</v>
      </c>
      <c r="X4" s="192" t="s">
        <v>965</v>
      </c>
      <c r="Y4" s="192"/>
      <c r="Z4" s="192"/>
      <c r="AH4" s="176" t="s">
        <v>500</v>
      </c>
    </row>
    <row r="5" spans="1:34" s="277" customFormat="1" ht="20" customHeight="1">
      <c r="A5" s="216" t="s">
        <v>810</v>
      </c>
      <c r="B5" s="217" t="s">
        <v>1156</v>
      </c>
      <c r="C5" s="450" t="s">
        <v>1860</v>
      </c>
      <c r="D5" s="217"/>
      <c r="E5" s="217" t="s">
        <v>1131</v>
      </c>
      <c r="F5" s="217" t="s">
        <v>810</v>
      </c>
      <c r="G5" s="217" t="s">
        <v>13577</v>
      </c>
      <c r="H5" s="451" t="s">
        <v>15507</v>
      </c>
      <c r="I5" s="452" t="s">
        <v>2236</v>
      </c>
      <c r="J5" s="452" t="s">
        <v>2237</v>
      </c>
      <c r="K5" s="453" t="s">
        <v>15508</v>
      </c>
      <c r="L5" s="453" t="s">
        <v>15509</v>
      </c>
      <c r="M5" s="453" t="s">
        <v>15510</v>
      </c>
      <c r="N5" s="453" t="s">
        <v>15511</v>
      </c>
      <c r="O5" s="453" t="s">
        <v>15512</v>
      </c>
      <c r="P5" s="454" t="s">
        <v>499</v>
      </c>
      <c r="Q5" s="455" t="s">
        <v>15513</v>
      </c>
      <c r="R5" s="217" t="str">
        <f ca="1">IF(ISERROR($V5),"",OFFSET('Smelter Look-up'!$C$4,$V5-4,0)&amp;"")</f>
        <v>A.L.M.T. Corp.</v>
      </c>
      <c r="S5" s="225" t="str">
        <f t="shared" ref="S5" ca="1" si="0">IF(B5="","",IF(ISERROR(MATCH($E5,CL,0)),"Unknown",INDIRECT("'C'!$A$"&amp;MATCH($E5,CL,0)+1)))</f>
        <v>JP</v>
      </c>
      <c r="T5" s="225" t="str">
        <f ca="1">IF(B5="","",IF(ISERROR(MATCH($J5,SorP!$B$1:$B$6230,0)),"",INDIRECT("'SorP'!$A$"&amp;MATCH($J5,SorP!$B$1:$B$6230,0))))</f>
        <v>JP-16</v>
      </c>
      <c r="U5" s="241"/>
      <c r="V5" s="275">
        <f>IF(C5="",NA(),MATCH($B5&amp;$C5,'Smelter Look-up'!$J:$J,0))</f>
        <v>487</v>
      </c>
      <c r="W5" s="276"/>
      <c r="X5" s="276">
        <f t="shared" ref="X5" si="1">IF(AND(C5="Smelter not listed",OR(LEN(D5)=0,LEN(E5)=0)),1,0)</f>
        <v>0</v>
      </c>
      <c r="Y5" s="276"/>
      <c r="Z5" s="276"/>
      <c r="AB5" s="278" t="str">
        <f t="shared" ref="AB5" si="2">B5&amp;C5</f>
        <v>TungstenA.L.M.T. TUNGSTEN Corp.</v>
      </c>
    </row>
    <row r="6" spans="1:34" s="277" customFormat="1" ht="20" customHeight="1">
      <c r="A6" s="216" t="s">
        <v>1408</v>
      </c>
      <c r="B6" s="217" t="s">
        <v>1153</v>
      </c>
      <c r="C6" s="450" t="s">
        <v>1407</v>
      </c>
      <c r="D6" s="217"/>
      <c r="E6" s="217" t="s">
        <v>2576</v>
      </c>
      <c r="F6" s="217" t="s">
        <v>1408</v>
      </c>
      <c r="G6" s="217" t="s">
        <v>13577</v>
      </c>
      <c r="H6" s="451" t="s">
        <v>15514</v>
      </c>
      <c r="I6" s="452" t="s">
        <v>1568</v>
      </c>
      <c r="J6" s="452" t="s">
        <v>1569</v>
      </c>
      <c r="K6" s="453" t="s">
        <v>15515</v>
      </c>
      <c r="L6" s="453" t="s">
        <v>15516</v>
      </c>
      <c r="M6" s="453" t="s">
        <v>15517</v>
      </c>
      <c r="N6" s="453" t="s">
        <v>15518</v>
      </c>
      <c r="O6" s="453" t="s">
        <v>15519</v>
      </c>
      <c r="P6" s="454" t="s">
        <v>498</v>
      </c>
      <c r="Q6" s="455" t="s">
        <v>15520</v>
      </c>
      <c r="R6" s="217" t="str">
        <f ca="1">IF(ISERROR($V6),"",OFFSET('Smelter Look-up'!$C$4,$V6-4,0)&amp;"")</f>
        <v>Advanced Chemical Company</v>
      </c>
      <c r="S6" s="225" t="str">
        <f t="shared" ref="S6:S37" ca="1" si="3">IF(B6="","",IF(ISERROR(MATCH($E6,CL,0)),"Unknown",INDIRECT("'C'!$A$"&amp;MATCH($E6,CL,0)+1)))</f>
        <v>US</v>
      </c>
      <c r="T6" s="225" t="str">
        <f ca="1">IF(B6="","",IF(ISERROR(MATCH($J6,SorP!$B$1:$B$6230,0)),"",INDIRECT("'SorP'!$A$"&amp;MATCH($J6,SorP!$B$1:$B$6230,0))))</f>
        <v>US-RI</v>
      </c>
      <c r="U6" s="241"/>
      <c r="V6" s="275">
        <f>IF(C6="",NA(),MATCH($B6&amp;$C6,'Smelter Look-up'!$J:$J,0))</f>
        <v>7</v>
      </c>
      <c r="W6" s="276"/>
      <c r="X6" s="276">
        <f t="shared" ref="X6:X37" si="4">IF(AND(C6="Smelter not listed",OR(LEN(D6)=0,LEN(E6)=0)),1,0)</f>
        <v>0</v>
      </c>
      <c r="Y6" s="276"/>
      <c r="Z6" s="276"/>
      <c r="AB6" s="278" t="str">
        <f t="shared" ref="AB6:AB37" si="5">B6&amp;C6</f>
        <v>GoldAdvanced Chemical Company</v>
      </c>
    </row>
    <row r="7" spans="1:34" s="277" customFormat="1" ht="20" customHeight="1">
      <c r="A7" s="216" t="s">
        <v>666</v>
      </c>
      <c r="B7" s="217" t="s">
        <v>1153</v>
      </c>
      <c r="C7" s="450" t="s">
        <v>2244</v>
      </c>
      <c r="D7" s="217"/>
      <c r="E7" s="217" t="s">
        <v>1131</v>
      </c>
      <c r="F7" s="217" t="s">
        <v>666</v>
      </c>
      <c r="G7" s="217" t="s">
        <v>13577</v>
      </c>
      <c r="H7" s="451" t="s">
        <v>15521</v>
      </c>
      <c r="I7" s="452" t="s">
        <v>1570</v>
      </c>
      <c r="J7" s="452" t="s">
        <v>1571</v>
      </c>
      <c r="K7" s="453" t="s">
        <v>15522</v>
      </c>
      <c r="L7" s="453" t="s">
        <v>15523</v>
      </c>
      <c r="M7" s="453" t="s">
        <v>15524</v>
      </c>
      <c r="N7" s="453" t="s">
        <v>15518</v>
      </c>
      <c r="O7" s="453" t="s">
        <v>15519</v>
      </c>
      <c r="P7" s="454" t="s">
        <v>498</v>
      </c>
      <c r="Q7" s="455" t="s">
        <v>15520</v>
      </c>
      <c r="R7" s="217" t="str">
        <f ca="1">IF(ISERROR($V7),"",OFFSET('Smelter Look-up'!$C$4,$V7-4,0)&amp;"")</f>
        <v>Aida Chemical Industries Co., Ltd.</v>
      </c>
      <c r="S7" s="225" t="str">
        <f t="shared" ca="1" si="3"/>
        <v>JP</v>
      </c>
      <c r="T7" s="225" t="str">
        <f ca="1">IF(B7="","",IF(ISERROR(MATCH($J7,SorP!$B$1:$B$6230,0)),"",INDIRECT("'SorP'!$A$"&amp;MATCH($J7,SorP!$B$1:$B$6230,0))))</f>
        <v>JP-13</v>
      </c>
      <c r="U7" s="241"/>
      <c r="V7" s="275">
        <f>IF(C7="",NA(),MATCH($B7&amp;$C7,'Smelter Look-up'!$J:$J,0))</f>
        <v>11</v>
      </c>
      <c r="W7" s="276"/>
      <c r="X7" s="276">
        <f t="shared" si="4"/>
        <v>0</v>
      </c>
      <c r="Y7" s="276"/>
      <c r="Z7" s="276"/>
      <c r="AB7" s="278" t="str">
        <f t="shared" si="5"/>
        <v>GoldAida Chemical Industries Co., Ltd.</v>
      </c>
    </row>
    <row r="8" spans="1:34" s="277" customFormat="1" ht="20" customHeight="1">
      <c r="A8" s="216" t="s">
        <v>667</v>
      </c>
      <c r="B8" s="217" t="s">
        <v>1153</v>
      </c>
      <c r="C8" s="450" t="s">
        <v>54</v>
      </c>
      <c r="D8" s="217"/>
      <c r="E8" s="217" t="s">
        <v>1124</v>
      </c>
      <c r="F8" s="217" t="s">
        <v>667</v>
      </c>
      <c r="G8" s="217" t="s">
        <v>13577</v>
      </c>
      <c r="H8" s="451" t="s">
        <v>15525</v>
      </c>
      <c r="I8" s="452" t="s">
        <v>1572</v>
      </c>
      <c r="J8" s="452" t="s">
        <v>1573</v>
      </c>
      <c r="K8" s="453" t="s">
        <v>15526</v>
      </c>
      <c r="L8" s="453" t="s">
        <v>15527</v>
      </c>
      <c r="M8" s="453" t="s">
        <v>15528</v>
      </c>
      <c r="N8" s="453" t="s">
        <v>15518</v>
      </c>
      <c r="O8" s="453" t="s">
        <v>15519</v>
      </c>
      <c r="P8" s="454" t="s">
        <v>498</v>
      </c>
      <c r="Q8" s="455" t="s">
        <v>15513</v>
      </c>
      <c r="R8" s="217" t="str">
        <f ca="1">IF(ISERROR($V8),"",OFFSET('Smelter Look-up'!$C$4,$V8-4,0)&amp;"")</f>
        <v>Allgemeine Gold-und Silberscheideanstalt A.G.</v>
      </c>
      <c r="S8" s="225" t="str">
        <f t="shared" ca="1" si="3"/>
        <v>DE</v>
      </c>
      <c r="T8" s="225" t="str">
        <f ca="1">IF(B8="","",IF(ISERROR(MATCH($J8,SorP!$B$1:$B$6230,0)),"",INDIRECT("'SorP'!$A$"&amp;MATCH($J8,SorP!$B$1:$B$6230,0))))</f>
        <v>DE-BW</v>
      </c>
      <c r="U8" s="241"/>
      <c r="V8" s="275">
        <f>IF(C8="",NA(),MATCH($B8&amp;$C8,'Smelter Look-up'!$J:$J,0))</f>
        <v>14</v>
      </c>
      <c r="W8" s="276"/>
      <c r="X8" s="276">
        <f t="shared" si="4"/>
        <v>0</v>
      </c>
      <c r="Y8" s="276"/>
      <c r="Z8" s="276"/>
      <c r="AB8" s="278" t="str">
        <f t="shared" si="5"/>
        <v>GoldAllgemeine Gold-und Silberscheideanstalt A.G.</v>
      </c>
    </row>
    <row r="9" spans="1:34" s="277" customFormat="1" ht="20" customHeight="1">
      <c r="A9" s="216" t="s">
        <v>668</v>
      </c>
      <c r="B9" s="217" t="s">
        <v>1153</v>
      </c>
      <c r="C9" s="450" t="s">
        <v>640</v>
      </c>
      <c r="D9" s="217"/>
      <c r="E9" s="217" t="s">
        <v>914</v>
      </c>
      <c r="F9" s="217" t="s">
        <v>668</v>
      </c>
      <c r="G9" s="217" t="s">
        <v>13577</v>
      </c>
      <c r="H9" s="451" t="s">
        <v>15529</v>
      </c>
      <c r="I9" s="452" t="s">
        <v>1574</v>
      </c>
      <c r="J9" s="452" t="s">
        <v>12339</v>
      </c>
      <c r="K9" s="453" t="s">
        <v>15530</v>
      </c>
      <c r="L9" s="453" t="s">
        <v>15531</v>
      </c>
      <c r="M9" s="453" t="s">
        <v>15532</v>
      </c>
      <c r="N9" s="453" t="s">
        <v>15511</v>
      </c>
      <c r="O9" s="453" t="s">
        <v>15533</v>
      </c>
      <c r="P9" s="454"/>
      <c r="Q9" s="455" t="s">
        <v>15520</v>
      </c>
      <c r="R9" s="217" t="str">
        <f ca="1">IF(ISERROR($V9),"",OFFSET('Smelter Look-up'!$C$4,$V9-4,0)&amp;"")</f>
        <v>Almalyk Mining and Metallurgical Complex (AMMC)</v>
      </c>
      <c r="S9" s="225" t="str">
        <f t="shared" ca="1" si="3"/>
        <v>UZ</v>
      </c>
      <c r="T9" s="225" t="str">
        <f ca="1">IF(B9="","",IF(ISERROR(MATCH($J9,SorP!$B$1:$B$6230,0)),"",INDIRECT("'SorP'!$A$"&amp;MATCH($J9,SorP!$B$1:$B$6230,0))))</f>
        <v>UZ-TK</v>
      </c>
      <c r="U9" s="241"/>
      <c r="V9" s="275">
        <f>IF(C9="",NA(),MATCH($B9&amp;$C9,'Smelter Look-up'!$J:$J,0))</f>
        <v>15</v>
      </c>
      <c r="W9" s="276"/>
      <c r="X9" s="276">
        <f t="shared" si="4"/>
        <v>0</v>
      </c>
      <c r="Y9" s="276"/>
      <c r="Z9" s="276"/>
      <c r="AB9" s="278" t="str">
        <f t="shared" si="5"/>
        <v>GoldAlmalyk Mining and Metallurgical Complex (AMMC)</v>
      </c>
    </row>
    <row r="10" spans="1:34" s="277" customFormat="1" ht="20" customHeight="1">
      <c r="A10" s="216" t="s">
        <v>669</v>
      </c>
      <c r="B10" s="217" t="s">
        <v>1153</v>
      </c>
      <c r="C10" s="450" t="s">
        <v>12755</v>
      </c>
      <c r="D10" s="217"/>
      <c r="E10" s="217" t="s">
        <v>1119</v>
      </c>
      <c r="F10" s="217" t="s">
        <v>669</v>
      </c>
      <c r="G10" s="217" t="s">
        <v>13577</v>
      </c>
      <c r="H10" s="451" t="s">
        <v>15534</v>
      </c>
      <c r="I10" s="452" t="s">
        <v>1576</v>
      </c>
      <c r="J10" s="452" t="s">
        <v>1577</v>
      </c>
      <c r="K10" s="453" t="s">
        <v>15535</v>
      </c>
      <c r="L10" s="453" t="s">
        <v>15536</v>
      </c>
      <c r="M10" s="453" t="s">
        <v>15537</v>
      </c>
      <c r="N10" s="453" t="s">
        <v>15511</v>
      </c>
      <c r="O10" s="453" t="s">
        <v>15533</v>
      </c>
      <c r="P10" s="454"/>
      <c r="Q10" s="455" t="s">
        <v>15513</v>
      </c>
      <c r="R10" s="217" t="str">
        <f ca="1">IF(ISERROR($V10),"",OFFSET('Smelter Look-up'!$C$4,$V10-4,0)&amp;"")</f>
        <v>AngloGold Ashanti Corrego do Sitio Mineracao</v>
      </c>
      <c r="S10" s="225" t="str">
        <f t="shared" ca="1" si="3"/>
        <v>BR</v>
      </c>
      <c r="T10" s="225" t="str">
        <f ca="1">IF(B10="","",IF(ISERROR(MATCH($J10,SorP!$B$1:$B$6230,0)),"",INDIRECT("'SorP'!$A$"&amp;MATCH($J10,SorP!$B$1:$B$6230,0))))</f>
        <v>BR-MG</v>
      </c>
      <c r="U10" s="241"/>
      <c r="V10" s="275">
        <f>IF(C10="",NA(),MATCH($B10&amp;$C10,'Smelter Look-up'!$J:$J,0))</f>
        <v>18</v>
      </c>
      <c r="W10" s="276"/>
      <c r="X10" s="276">
        <f t="shared" si="4"/>
        <v>0</v>
      </c>
      <c r="Y10" s="276"/>
      <c r="Z10" s="276"/>
      <c r="AB10" s="278" t="str">
        <f t="shared" si="5"/>
        <v>GoldAngloGold Ashanti Corrego do Sitio Mineracao</v>
      </c>
    </row>
    <row r="11" spans="1:34" s="277" customFormat="1" ht="20" customHeight="1">
      <c r="A11" s="216" t="s">
        <v>670</v>
      </c>
      <c r="B11" s="217" t="s">
        <v>1153</v>
      </c>
      <c r="C11" s="450" t="s">
        <v>2409</v>
      </c>
      <c r="D11" s="217"/>
      <c r="E11" s="217" t="s">
        <v>1121</v>
      </c>
      <c r="F11" s="217" t="s">
        <v>670</v>
      </c>
      <c r="G11" s="217" t="s">
        <v>13577</v>
      </c>
      <c r="H11" s="451" t="s">
        <v>15538</v>
      </c>
      <c r="I11" s="452" t="s">
        <v>1578</v>
      </c>
      <c r="J11" s="452" t="s">
        <v>1579</v>
      </c>
      <c r="K11" s="453" t="s">
        <v>15539</v>
      </c>
      <c r="L11" s="453" t="s">
        <v>15540</v>
      </c>
      <c r="M11" s="453" t="s">
        <v>15541</v>
      </c>
      <c r="N11" s="453" t="s">
        <v>15542</v>
      </c>
      <c r="O11" s="453" t="s">
        <v>15543</v>
      </c>
      <c r="P11" s="454" t="s">
        <v>499</v>
      </c>
      <c r="Q11" s="455" t="s">
        <v>15513</v>
      </c>
      <c r="R11" s="217" t="str">
        <f ca="1">IF(ISERROR($V11),"",OFFSET('Smelter Look-up'!$C$4,$V11-4,0)&amp;"")</f>
        <v>Argor-Heraeus S.A.</v>
      </c>
      <c r="S11" s="225" t="str">
        <f t="shared" ca="1" si="3"/>
        <v>CH</v>
      </c>
      <c r="T11" s="225" t="str">
        <f ca="1">IF(B11="","",IF(ISERROR(MATCH($J11,SorP!$B$1:$B$6230,0)),"",INDIRECT("'SorP'!$A$"&amp;MATCH($J11,SorP!$B$1:$B$6230,0))))</f>
        <v>CH-TI</v>
      </c>
      <c r="U11" s="241"/>
      <c r="V11" s="275">
        <f>IF(C11="",NA(),MATCH($B11&amp;$C11,'Smelter Look-up'!$J:$J,0))</f>
        <v>23</v>
      </c>
      <c r="W11" s="276"/>
      <c r="X11" s="276">
        <f t="shared" si="4"/>
        <v>0</v>
      </c>
      <c r="Y11" s="276"/>
      <c r="Z11" s="276"/>
      <c r="AB11" s="278" t="str">
        <f t="shared" si="5"/>
        <v>GoldArgor-Heraeus S.A.</v>
      </c>
    </row>
    <row r="12" spans="1:34" s="277" customFormat="1" ht="20" customHeight="1">
      <c r="A12" s="216" t="s">
        <v>671</v>
      </c>
      <c r="B12" s="217" t="s">
        <v>1153</v>
      </c>
      <c r="C12" s="450" t="s">
        <v>2410</v>
      </c>
      <c r="D12" s="217"/>
      <c r="E12" s="217" t="s">
        <v>1131</v>
      </c>
      <c r="F12" s="217" t="s">
        <v>671</v>
      </c>
      <c r="G12" s="217" t="s">
        <v>13577</v>
      </c>
      <c r="H12" s="451" t="s">
        <v>15544</v>
      </c>
      <c r="I12" s="452" t="s">
        <v>1580</v>
      </c>
      <c r="J12" s="452" t="s">
        <v>1581</v>
      </c>
      <c r="K12" s="453" t="s">
        <v>15545</v>
      </c>
      <c r="L12" s="453" t="s">
        <v>15546</v>
      </c>
      <c r="M12" s="453" t="s">
        <v>15537</v>
      </c>
      <c r="N12" s="453" t="s">
        <v>15518</v>
      </c>
      <c r="O12" s="453" t="s">
        <v>15519</v>
      </c>
      <c r="P12" s="454" t="s">
        <v>498</v>
      </c>
      <c r="Q12" s="455" t="s">
        <v>15513</v>
      </c>
      <c r="R12" s="217" t="str">
        <f ca="1">IF(ISERROR($V12),"",OFFSET('Smelter Look-up'!$C$4,$V12-4,0)&amp;"")</f>
        <v>Asahi Pretec Corp.</v>
      </c>
      <c r="S12" s="225" t="str">
        <f t="shared" ca="1" si="3"/>
        <v>JP</v>
      </c>
      <c r="T12" s="225" t="str">
        <f ca="1">IF(B12="","",IF(ISERROR(MATCH($J12,SorP!$B$1:$B$6230,0)),"",INDIRECT("'SorP'!$A$"&amp;MATCH($J12,SorP!$B$1:$B$6230,0))))</f>
        <v>JP-28</v>
      </c>
      <c r="U12" s="241"/>
      <c r="V12" s="275">
        <f>IF(C12="",NA(),MATCH($B12&amp;$C12,'Smelter Look-up'!$J:$J,0))</f>
        <v>24</v>
      </c>
      <c r="W12" s="276"/>
      <c r="X12" s="276">
        <f t="shared" si="4"/>
        <v>0</v>
      </c>
      <c r="Y12" s="276"/>
      <c r="Z12" s="276"/>
      <c r="AB12" s="278" t="str">
        <f t="shared" si="5"/>
        <v>GoldAsahi Pretec Corp.</v>
      </c>
    </row>
    <row r="13" spans="1:34" s="277" customFormat="1" ht="20" customHeight="1">
      <c r="A13" s="216" t="s">
        <v>672</v>
      </c>
      <c r="B13" s="217" t="s">
        <v>1153</v>
      </c>
      <c r="C13" s="450" t="s">
        <v>2245</v>
      </c>
      <c r="D13" s="217"/>
      <c r="E13" s="217" t="s">
        <v>1131</v>
      </c>
      <c r="F13" s="217" t="s">
        <v>672</v>
      </c>
      <c r="G13" s="217" t="s">
        <v>13577</v>
      </c>
      <c r="H13" s="451" t="s">
        <v>15547</v>
      </c>
      <c r="I13" s="452" t="s">
        <v>1583</v>
      </c>
      <c r="J13" s="452" t="s">
        <v>1584</v>
      </c>
      <c r="K13" s="453" t="s">
        <v>15548</v>
      </c>
      <c r="L13" s="453" t="s">
        <v>15549</v>
      </c>
      <c r="M13" s="453" t="s">
        <v>15550</v>
      </c>
      <c r="N13" s="453" t="s">
        <v>15518</v>
      </c>
      <c r="O13" s="453" t="s">
        <v>15519</v>
      </c>
      <c r="P13" s="454" t="s">
        <v>498</v>
      </c>
      <c r="Q13" s="455" t="s">
        <v>15513</v>
      </c>
      <c r="R13" s="217" t="str">
        <f ca="1">IF(ISERROR($V13),"",OFFSET('Smelter Look-up'!$C$4,$V13-4,0)&amp;"")</f>
        <v>Asaka Riken Co., Ltd.</v>
      </c>
      <c r="S13" s="225" t="str">
        <f t="shared" ca="1" si="3"/>
        <v>JP</v>
      </c>
      <c r="T13" s="225" t="str">
        <f ca="1">IF(B13="","",IF(ISERROR(MATCH($J13,SorP!$B$1:$B$6230,0)),"",INDIRECT("'SorP'!$A$"&amp;MATCH($J13,SorP!$B$1:$B$6230,0))))</f>
        <v>JP-07</v>
      </c>
      <c r="U13" s="241"/>
      <c r="V13" s="275">
        <f>IF(C13="",NA(),MATCH($B13&amp;$C13,'Smelter Look-up'!$J:$J,0))</f>
        <v>27</v>
      </c>
      <c r="W13" s="276"/>
      <c r="X13" s="276">
        <f t="shared" si="4"/>
        <v>0</v>
      </c>
      <c r="Y13" s="276"/>
      <c r="Z13" s="276"/>
      <c r="AB13" s="278" t="str">
        <f t="shared" si="5"/>
        <v>GoldAsaka Riken Co., Ltd.</v>
      </c>
    </row>
    <row r="14" spans="1:34" s="277" customFormat="1" ht="20" customHeight="1">
      <c r="A14" s="216" t="s">
        <v>2672</v>
      </c>
      <c r="B14" s="217" t="s">
        <v>1155</v>
      </c>
      <c r="C14" s="450" t="s">
        <v>2245</v>
      </c>
      <c r="D14" s="217"/>
      <c r="E14" s="217" t="s">
        <v>1131</v>
      </c>
      <c r="F14" s="217" t="s">
        <v>2672</v>
      </c>
      <c r="G14" s="217" t="s">
        <v>13577</v>
      </c>
      <c r="H14" s="451" t="s">
        <v>14249</v>
      </c>
      <c r="I14" s="452" t="s">
        <v>1583</v>
      </c>
      <c r="J14" s="452" t="s">
        <v>1584</v>
      </c>
      <c r="K14" s="453" t="s">
        <v>14249</v>
      </c>
      <c r="L14" s="453" t="s">
        <v>14249</v>
      </c>
      <c r="M14" s="453" t="s">
        <v>14249</v>
      </c>
      <c r="N14" s="453" t="s">
        <v>14249</v>
      </c>
      <c r="O14" s="453" t="s">
        <v>14249</v>
      </c>
      <c r="P14" s="454" t="s">
        <v>498</v>
      </c>
      <c r="Q14" s="455" t="s">
        <v>14249</v>
      </c>
      <c r="R14" s="217" t="str">
        <f ca="1">IF(ISERROR($V14),"",OFFSET('Smelter Look-up'!$C$4,$V14-4,0)&amp;"")</f>
        <v>Asaka Riken Co., Ltd.</v>
      </c>
      <c r="S14" s="225" t="str">
        <f t="shared" ca="1" si="3"/>
        <v>JP</v>
      </c>
      <c r="T14" s="225" t="str">
        <f ca="1">IF(B14="","",IF(ISERROR(MATCH($J14,SorP!$B$1:$B$6230,0)),"",INDIRECT("'SorP'!$A$"&amp;MATCH($J14,SorP!$B$1:$B$6230,0))))</f>
        <v>JP-07</v>
      </c>
      <c r="U14" s="241"/>
      <c r="V14" s="275">
        <f>IF(C14="",NA(),MATCH($B14&amp;$C14,'Smelter Look-up'!$J:$J,0))</f>
        <v>295</v>
      </c>
      <c r="W14" s="276"/>
      <c r="X14" s="276">
        <f t="shared" si="4"/>
        <v>0</v>
      </c>
      <c r="Y14" s="276"/>
      <c r="Z14" s="276"/>
      <c r="AB14" s="278" t="str">
        <f t="shared" si="5"/>
        <v>TantalumAsaka Riken Co., Ltd.</v>
      </c>
    </row>
    <row r="15" spans="1:34" s="277" customFormat="1" ht="20" customHeight="1">
      <c r="A15" s="216" t="s">
        <v>673</v>
      </c>
      <c r="B15" s="217" t="s">
        <v>1153</v>
      </c>
      <c r="C15" s="450" t="s">
        <v>641</v>
      </c>
      <c r="D15" s="217"/>
      <c r="E15" s="217" t="s">
        <v>912</v>
      </c>
      <c r="F15" s="217" t="s">
        <v>673</v>
      </c>
      <c r="G15" s="217" t="s">
        <v>13577</v>
      </c>
      <c r="H15" s="451" t="s">
        <v>14249</v>
      </c>
      <c r="I15" s="452" t="s">
        <v>1585</v>
      </c>
      <c r="J15" s="452" t="s">
        <v>11593</v>
      </c>
      <c r="K15" s="453" t="s">
        <v>14249</v>
      </c>
      <c r="L15" s="453" t="s">
        <v>14249</v>
      </c>
      <c r="M15" s="453" t="s">
        <v>14249</v>
      </c>
      <c r="N15" s="453" t="s">
        <v>14249</v>
      </c>
      <c r="O15" s="453" t="s">
        <v>14249</v>
      </c>
      <c r="P15" s="454" t="s">
        <v>14249</v>
      </c>
      <c r="Q15" s="455" t="s">
        <v>14249</v>
      </c>
      <c r="R15" s="217" t="str">
        <f ca="1">IF(ISERROR($V15),"",OFFSET('Smelter Look-up'!$C$4,$V15-4,0)&amp;"")</f>
        <v>Atasay Kuyumculuk Sanayi Ve Ticaret A.S.</v>
      </c>
      <c r="S15" s="225" t="str">
        <f t="shared" ca="1" si="3"/>
        <v>TR</v>
      </c>
      <c r="T15" s="225" t="str">
        <f ca="1">IF(B15="","",IF(ISERROR(MATCH($J15,SorP!$B$1:$B$6230,0)),"",INDIRECT("'SorP'!$A$"&amp;MATCH($J15,SorP!$B$1:$B$6230,0))))</f>
        <v>TR-34</v>
      </c>
      <c r="U15" s="241"/>
      <c r="V15" s="275">
        <f>IF(C15="",NA(),MATCH($B15&amp;$C15,'Smelter Look-up'!$J:$J,0))</f>
        <v>29</v>
      </c>
      <c r="W15" s="276"/>
      <c r="X15" s="276">
        <f t="shared" si="4"/>
        <v>0</v>
      </c>
      <c r="Y15" s="276"/>
      <c r="Z15" s="276"/>
      <c r="AB15" s="278" t="str">
        <f t="shared" si="5"/>
        <v>GoldAtasay Kuyumculuk Sanayi Ve Ticaret A.S.</v>
      </c>
    </row>
    <row r="16" spans="1:34" s="277" customFormat="1" ht="20" customHeight="1">
      <c r="A16" s="216" t="s">
        <v>811</v>
      </c>
      <c r="B16" s="217" t="s">
        <v>1156</v>
      </c>
      <c r="C16" s="450" t="s">
        <v>151</v>
      </c>
      <c r="D16" s="217"/>
      <c r="E16" s="217" t="s">
        <v>2576</v>
      </c>
      <c r="F16" s="217" t="s">
        <v>811</v>
      </c>
      <c r="G16" s="217" t="s">
        <v>13577</v>
      </c>
      <c r="H16" s="451" t="s">
        <v>15551</v>
      </c>
      <c r="I16" s="452" t="s">
        <v>1863</v>
      </c>
      <c r="J16" s="452" t="s">
        <v>1864</v>
      </c>
      <c r="K16" s="453" t="s">
        <v>15552</v>
      </c>
      <c r="L16" s="453" t="s">
        <v>15553</v>
      </c>
      <c r="M16" s="453" t="s">
        <v>15554</v>
      </c>
      <c r="N16" s="453" t="s">
        <v>15511</v>
      </c>
      <c r="O16" s="453" t="s">
        <v>15555</v>
      </c>
      <c r="P16" s="454"/>
      <c r="Q16" s="455" t="s">
        <v>15513</v>
      </c>
      <c r="R16" s="217" t="str">
        <f ca="1">IF(ISERROR($V16),"",OFFSET('Smelter Look-up'!$C$4,$V16-4,0)&amp;"")</f>
        <v>Kennametal Huntsville</v>
      </c>
      <c r="S16" s="225" t="str">
        <f t="shared" ca="1" si="3"/>
        <v>US</v>
      </c>
      <c r="T16" s="225" t="str">
        <f ca="1">IF(B16="","",IF(ISERROR(MATCH($J16,SorP!$B$1:$B$6230,0)),"",INDIRECT("'SorP'!$A$"&amp;MATCH($J16,SorP!$B$1:$B$6230,0))))</f>
        <v>US-AL</v>
      </c>
      <c r="U16" s="241"/>
      <c r="V16" s="275">
        <f>IF(C16="",NA(),MATCH($B16&amp;$C16,'Smelter Look-up'!$J:$J,0))</f>
        <v>538</v>
      </c>
      <c r="W16" s="276"/>
      <c r="X16" s="276">
        <f t="shared" si="4"/>
        <v>0</v>
      </c>
      <c r="Y16" s="276"/>
      <c r="Z16" s="276"/>
      <c r="AB16" s="278" t="str">
        <f t="shared" si="5"/>
        <v>TungstenKennametal Huntsville</v>
      </c>
    </row>
    <row r="17" spans="1:28" s="277" customFormat="1" ht="20" customHeight="1">
      <c r="A17" s="216" t="s">
        <v>674</v>
      </c>
      <c r="B17" s="217" t="s">
        <v>1153</v>
      </c>
      <c r="C17" s="450" t="s">
        <v>1247</v>
      </c>
      <c r="D17" s="217"/>
      <c r="E17" s="217" t="s">
        <v>1124</v>
      </c>
      <c r="F17" s="217" t="s">
        <v>674</v>
      </c>
      <c r="G17" s="217" t="s">
        <v>13577</v>
      </c>
      <c r="H17" s="451" t="s">
        <v>15556</v>
      </c>
      <c r="I17" s="452" t="s">
        <v>1586</v>
      </c>
      <c r="J17" s="452" t="s">
        <v>1586</v>
      </c>
      <c r="K17" s="453" t="s">
        <v>15557</v>
      </c>
      <c r="L17" s="453" t="s">
        <v>15558</v>
      </c>
      <c r="M17" s="453" t="s">
        <v>15532</v>
      </c>
      <c r="N17" s="453" t="s">
        <v>15511</v>
      </c>
      <c r="O17" s="453" t="s">
        <v>15533</v>
      </c>
      <c r="P17" s="454"/>
      <c r="Q17" s="455" t="s">
        <v>15513</v>
      </c>
      <c r="R17" s="217" t="str">
        <f ca="1">IF(ISERROR($V17),"",OFFSET('Smelter Look-up'!$C$4,$V17-4,0)&amp;"")</f>
        <v>Aurubis AG</v>
      </c>
      <c r="S17" s="225" t="str">
        <f t="shared" ca="1" si="3"/>
        <v>DE</v>
      </c>
      <c r="T17" s="225" t="str">
        <f ca="1">IF(B17="","",IF(ISERROR(MATCH($J17,SorP!$B$1:$B$6230,0)),"",INDIRECT("'SorP'!$A$"&amp;MATCH($J17,SorP!$B$1:$B$6230,0))))</f>
        <v>DE-HH</v>
      </c>
      <c r="U17" s="241"/>
      <c r="V17" s="275">
        <f>IF(C17="",NA(),MATCH($B17&amp;$C17,'Smelter Look-up'!$J:$J,0))</f>
        <v>32</v>
      </c>
      <c r="W17" s="276"/>
      <c r="X17" s="276">
        <f t="shared" si="4"/>
        <v>0</v>
      </c>
      <c r="Y17" s="276"/>
      <c r="Z17" s="276"/>
      <c r="AB17" s="278" t="str">
        <f t="shared" si="5"/>
        <v>GoldAurubis AG</v>
      </c>
    </row>
    <row r="18" spans="1:28" s="277" customFormat="1" ht="20" customHeight="1">
      <c r="A18" s="216" t="s">
        <v>675</v>
      </c>
      <c r="B18" s="217" t="s">
        <v>1153</v>
      </c>
      <c r="C18" s="450" t="s">
        <v>927</v>
      </c>
      <c r="D18" s="217"/>
      <c r="E18" s="217" t="s">
        <v>904</v>
      </c>
      <c r="F18" s="217" t="s">
        <v>675</v>
      </c>
      <c r="G18" s="217" t="s">
        <v>13577</v>
      </c>
      <c r="H18" s="451" t="s">
        <v>15559</v>
      </c>
      <c r="I18" s="452" t="s">
        <v>2310</v>
      </c>
      <c r="J18" s="452" t="s">
        <v>9770</v>
      </c>
      <c r="K18" s="453" t="s">
        <v>15560</v>
      </c>
      <c r="L18" s="453" t="s">
        <v>15561</v>
      </c>
      <c r="M18" s="453"/>
      <c r="N18" s="453" t="s">
        <v>15511</v>
      </c>
      <c r="O18" s="453" t="s">
        <v>15533</v>
      </c>
      <c r="P18" s="454"/>
      <c r="Q18" s="455" t="s">
        <v>15520</v>
      </c>
      <c r="R18" s="217" t="str">
        <f ca="1">IF(ISERROR($V18),"",OFFSET('Smelter Look-up'!$C$4,$V18-4,0)&amp;"")</f>
        <v>Bangko Sentral ng Pilipinas (Central Bank of the Philippines)</v>
      </c>
      <c r="S18" s="225" t="str">
        <f t="shared" ca="1" si="3"/>
        <v>PH</v>
      </c>
      <c r="T18" s="225" t="str">
        <f ca="1">IF(B18="","",IF(ISERROR(MATCH($J18,SorP!$B$1:$B$6230,0)),"",INDIRECT("'SorP'!$A$"&amp;MATCH($J18,SorP!$B$1:$B$6230,0))))</f>
        <v>PH-RIZ</v>
      </c>
      <c r="U18" s="241"/>
      <c r="V18" s="275">
        <f>IF(C18="",NA(),MATCH($B18&amp;$C18,'Smelter Look-up'!$J:$J,0))</f>
        <v>36</v>
      </c>
      <c r="W18" s="276"/>
      <c r="X18" s="276">
        <f t="shared" si="4"/>
        <v>0</v>
      </c>
      <c r="Y18" s="276"/>
      <c r="Z18" s="276"/>
      <c r="AB18" s="278" t="str">
        <f t="shared" si="5"/>
        <v>GoldBangko Sentral ng Pilipinas (Central Bank of the Philippines)</v>
      </c>
    </row>
    <row r="19" spans="1:28" s="277" customFormat="1" ht="37.15">
      <c r="A19" s="216" t="s">
        <v>676</v>
      </c>
      <c r="B19" s="217" t="s">
        <v>1153</v>
      </c>
      <c r="C19" s="450" t="s">
        <v>1249</v>
      </c>
      <c r="D19" s="217"/>
      <c r="E19" s="217" t="s">
        <v>910</v>
      </c>
      <c r="F19" s="217" t="s">
        <v>676</v>
      </c>
      <c r="G19" s="217" t="s">
        <v>13577</v>
      </c>
      <c r="H19" s="451" t="s">
        <v>15562</v>
      </c>
      <c r="I19" s="452" t="s">
        <v>1588</v>
      </c>
      <c r="J19" s="452" t="s">
        <v>10600</v>
      </c>
      <c r="K19" s="453" t="s">
        <v>15563</v>
      </c>
      <c r="L19" s="453" t="s">
        <v>15564</v>
      </c>
      <c r="M19" s="453" t="s">
        <v>15565</v>
      </c>
      <c r="N19" s="453" t="s">
        <v>15511</v>
      </c>
      <c r="O19" s="453" t="s">
        <v>15533</v>
      </c>
      <c r="P19" s="454"/>
      <c r="Q19" s="455" t="s">
        <v>15520</v>
      </c>
      <c r="R19" s="217" t="str">
        <f ca="1">IF(ISERROR($V19),"",OFFSET('Smelter Look-up'!$C$4,$V19-4,0)&amp;"")</f>
        <v>Boliden AB</v>
      </c>
      <c r="S19" s="225" t="str">
        <f t="shared" ca="1" si="3"/>
        <v>SE</v>
      </c>
      <c r="T19" s="225" t="str">
        <f ca="1">IF(B19="","",IF(ISERROR(MATCH($J19,SorP!$B$1:$B$6230,0)),"",INDIRECT("'SorP'!$A$"&amp;MATCH($J19,SorP!$B$1:$B$6230,0))))</f>
        <v>SE-AC</v>
      </c>
      <c r="U19" s="241"/>
      <c r="V19" s="275">
        <f>IF(C19="",NA(),MATCH($B19&amp;$C19,'Smelter Look-up'!$J:$J,0))</f>
        <v>37</v>
      </c>
      <c r="W19" s="276"/>
      <c r="X19" s="276">
        <f t="shared" si="4"/>
        <v>0</v>
      </c>
      <c r="Y19" s="276"/>
      <c r="Z19" s="276"/>
      <c r="AB19" s="278" t="str">
        <f t="shared" si="5"/>
        <v>GoldBoliden AB</v>
      </c>
    </row>
    <row r="20" spans="1:28" s="277" customFormat="1" ht="61.9">
      <c r="A20" s="216" t="s">
        <v>678</v>
      </c>
      <c r="B20" s="217" t="s">
        <v>1153</v>
      </c>
      <c r="C20" s="450" t="s">
        <v>677</v>
      </c>
      <c r="D20" s="217"/>
      <c r="E20" s="217" t="s">
        <v>1124</v>
      </c>
      <c r="F20" s="217" t="s">
        <v>678</v>
      </c>
      <c r="G20" s="217" t="s">
        <v>13577</v>
      </c>
      <c r="H20" s="451" t="s">
        <v>15566</v>
      </c>
      <c r="I20" s="452" t="s">
        <v>1572</v>
      </c>
      <c r="J20" s="452" t="s">
        <v>1573</v>
      </c>
      <c r="K20" s="453" t="s">
        <v>15567</v>
      </c>
      <c r="L20" s="453" t="s">
        <v>15568</v>
      </c>
      <c r="M20" s="453" t="s">
        <v>15569</v>
      </c>
      <c r="N20" s="453" t="s">
        <v>15518</v>
      </c>
      <c r="O20" s="453" t="s">
        <v>15519</v>
      </c>
      <c r="P20" s="454" t="s">
        <v>498</v>
      </c>
      <c r="Q20" s="455" t="s">
        <v>15513</v>
      </c>
      <c r="R20" s="217" t="str">
        <f ca="1">IF(ISERROR($V20),"",OFFSET('Smelter Look-up'!$C$4,$V20-4,0)&amp;"")</f>
        <v>C. Hafner GmbH + Co. KG</v>
      </c>
      <c r="S20" s="225" t="str">
        <f t="shared" ca="1" si="3"/>
        <v>DE</v>
      </c>
      <c r="T20" s="225" t="str">
        <f ca="1">IF(B20="","",IF(ISERROR(MATCH($J20,SorP!$B$1:$B$6230,0)),"",INDIRECT("'SorP'!$A$"&amp;MATCH($J20,SorP!$B$1:$B$6230,0))))</f>
        <v>DE-BW</v>
      </c>
      <c r="U20" s="241"/>
      <c r="V20" s="275">
        <f>IF(C20="",NA(),MATCH($B20&amp;$C20,'Smelter Look-up'!$J:$J,0))</f>
        <v>38</v>
      </c>
      <c r="W20" s="276"/>
      <c r="X20" s="276">
        <f t="shared" si="4"/>
        <v>0</v>
      </c>
      <c r="Y20" s="276"/>
      <c r="Z20" s="276"/>
      <c r="AB20" s="278" t="str">
        <f t="shared" si="5"/>
        <v>GoldC. Hafner GmbH + Co. KG</v>
      </c>
    </row>
    <row r="21" spans="1:28" s="277" customFormat="1" ht="20.25">
      <c r="A21" s="216" t="s">
        <v>679</v>
      </c>
      <c r="B21" s="217" t="s">
        <v>1153</v>
      </c>
      <c r="C21" s="450" t="s">
        <v>928</v>
      </c>
      <c r="D21" s="217"/>
      <c r="E21" s="217" t="s">
        <v>1136</v>
      </c>
      <c r="F21" s="217" t="s">
        <v>679</v>
      </c>
      <c r="G21" s="217" t="s">
        <v>13577</v>
      </c>
      <c r="H21" s="451" t="s">
        <v>14249</v>
      </c>
      <c r="I21" s="452" t="s">
        <v>1589</v>
      </c>
      <c r="J21" s="452" t="s">
        <v>1590</v>
      </c>
      <c r="K21" s="453" t="s">
        <v>14249</v>
      </c>
      <c r="L21" s="453" t="s">
        <v>14249</v>
      </c>
      <c r="M21" s="453" t="s">
        <v>14249</v>
      </c>
      <c r="N21" s="453" t="s">
        <v>14249</v>
      </c>
      <c r="O21" s="453" t="s">
        <v>14249</v>
      </c>
      <c r="P21" s="454" t="s">
        <v>14249</v>
      </c>
      <c r="Q21" s="455" t="s">
        <v>14249</v>
      </c>
      <c r="R21" s="217" t="str">
        <f ca="1">IF(ISERROR($V21),"",OFFSET('Smelter Look-up'!$C$4,$V21-4,0)&amp;"")</f>
        <v>Caridad</v>
      </c>
      <c r="S21" s="225" t="str">
        <f t="shared" ca="1" si="3"/>
        <v>MX</v>
      </c>
      <c r="T21" s="225" t="str">
        <f ca="1">IF(B21="","",IF(ISERROR(MATCH($J21,SorP!$B$1:$B$6230,0)),"",INDIRECT("'SorP'!$A$"&amp;MATCH($J21,SorP!$B$1:$B$6230,0))))</f>
        <v>MX-SON</v>
      </c>
      <c r="U21" s="241"/>
      <c r="V21" s="275">
        <f>IF(C21="",NA(),MATCH($B21&amp;$C21,'Smelter Look-up'!$J:$J,0))</f>
        <v>40</v>
      </c>
      <c r="W21" s="276"/>
      <c r="X21" s="276">
        <f t="shared" si="4"/>
        <v>0</v>
      </c>
      <c r="Y21" s="276"/>
      <c r="Z21" s="276"/>
      <c r="AB21" s="278" t="str">
        <f t="shared" si="5"/>
        <v>GoldCaridad</v>
      </c>
    </row>
    <row r="22" spans="1:28" s="277" customFormat="1" ht="24.75">
      <c r="A22" s="216" t="s">
        <v>680</v>
      </c>
      <c r="B22" s="217" t="s">
        <v>1153</v>
      </c>
      <c r="C22" s="450" t="s">
        <v>2352</v>
      </c>
      <c r="D22" s="217"/>
      <c r="E22" s="217" t="s">
        <v>1120</v>
      </c>
      <c r="F22" s="217" t="s">
        <v>680</v>
      </c>
      <c r="G22" s="217" t="s">
        <v>13577</v>
      </c>
      <c r="H22" s="451" t="s">
        <v>15570</v>
      </c>
      <c r="I22" s="452" t="s">
        <v>1591</v>
      </c>
      <c r="J22" s="452" t="s">
        <v>1592</v>
      </c>
      <c r="K22" s="453" t="s">
        <v>15571</v>
      </c>
      <c r="L22" s="453" t="s">
        <v>15572</v>
      </c>
      <c r="M22" s="453" t="s">
        <v>15573</v>
      </c>
      <c r="N22" s="453" t="s">
        <v>15511</v>
      </c>
      <c r="O22" s="453" t="s">
        <v>15533</v>
      </c>
      <c r="P22" s="454"/>
      <c r="Q22" s="455" t="s">
        <v>15513</v>
      </c>
      <c r="R22" s="217" t="str">
        <f ca="1">IF(ISERROR($V22),"",OFFSET('Smelter Look-up'!$C$4,$V22-4,0)&amp;"")</f>
        <v>CCR Refinery - Glencore Canada Corporation</v>
      </c>
      <c r="S22" s="225" t="str">
        <f t="shared" ca="1" si="3"/>
        <v>CA</v>
      </c>
      <c r="T22" s="225" t="str">
        <f ca="1">IF(B22="","",IF(ISERROR(MATCH($J22,SorP!$B$1:$B$6230,0)),"",INDIRECT("'SorP'!$A$"&amp;MATCH($J22,SorP!$B$1:$B$6230,0))))</f>
        <v>CA-QC</v>
      </c>
      <c r="U22" s="241"/>
      <c r="V22" s="275">
        <f>IF(C22="",NA(),MATCH($B22&amp;$C22,'Smelter Look-up'!$J:$J,0))</f>
        <v>43</v>
      </c>
      <c r="W22" s="276"/>
      <c r="X22" s="276">
        <f t="shared" si="4"/>
        <v>0</v>
      </c>
      <c r="Y22" s="276"/>
      <c r="Z22" s="276"/>
      <c r="AB22" s="278" t="str">
        <f t="shared" si="5"/>
        <v>GoldCCR Refinery - Glencore Canada Corporation</v>
      </c>
    </row>
    <row r="23" spans="1:28" s="277" customFormat="1" ht="20.25">
      <c r="A23" s="216" t="s">
        <v>681</v>
      </c>
      <c r="B23" s="217" t="s">
        <v>1153</v>
      </c>
      <c r="C23" s="450" t="s">
        <v>2639</v>
      </c>
      <c r="D23" s="217"/>
      <c r="E23" s="217" t="s">
        <v>1121</v>
      </c>
      <c r="F23" s="217" t="s">
        <v>681</v>
      </c>
      <c r="G23" s="217" t="s">
        <v>13577</v>
      </c>
      <c r="H23" s="451" t="s">
        <v>15574</v>
      </c>
      <c r="I23" s="452" t="s">
        <v>1595</v>
      </c>
      <c r="J23" s="452" t="s">
        <v>1596</v>
      </c>
      <c r="K23" s="453" t="s">
        <v>15575</v>
      </c>
      <c r="L23" s="453" t="s">
        <v>15576</v>
      </c>
      <c r="M23" s="453" t="s">
        <v>15577</v>
      </c>
      <c r="N23" s="453" t="s">
        <v>15518</v>
      </c>
      <c r="O23" s="453" t="s">
        <v>15519</v>
      </c>
      <c r="P23" s="454" t="s">
        <v>498</v>
      </c>
      <c r="Q23" s="455" t="s">
        <v>15520</v>
      </c>
      <c r="R23" s="217" t="str">
        <f ca="1">IF(ISERROR($V23),"",OFFSET('Smelter Look-up'!$C$4,$V23-4,0)&amp;"")</f>
        <v>Cendres + Metaux S.A.</v>
      </c>
      <c r="S23" s="225" t="str">
        <f t="shared" ca="1" si="3"/>
        <v>CH</v>
      </c>
      <c r="T23" s="225" t="str">
        <f ca="1">IF(B23="","",IF(ISERROR(MATCH($J23,SorP!$B$1:$B$6230,0)),"",INDIRECT("'SorP'!$A$"&amp;MATCH($J23,SorP!$B$1:$B$6230,0))))</f>
        <v>CH-BE</v>
      </c>
      <c r="U23" s="241"/>
      <c r="V23" s="275">
        <f>IF(C23="",NA(),MATCH($B23&amp;$C23,'Smelter Look-up'!$J:$J,0))</f>
        <v>46</v>
      </c>
      <c r="W23" s="276"/>
      <c r="X23" s="276">
        <f t="shared" si="4"/>
        <v>0</v>
      </c>
      <c r="Y23" s="276"/>
      <c r="Z23" s="276"/>
      <c r="AB23" s="278" t="str">
        <f t="shared" si="5"/>
        <v>GoldCendres + Metaux S.A.</v>
      </c>
    </row>
    <row r="24" spans="1:28" s="277" customFormat="1" ht="20.25">
      <c r="A24" s="216" t="s">
        <v>761</v>
      </c>
      <c r="B24" s="217" t="s">
        <v>1153</v>
      </c>
      <c r="C24" s="450" t="s">
        <v>2246</v>
      </c>
      <c r="D24" s="217"/>
      <c r="E24" s="217" t="s">
        <v>1123</v>
      </c>
      <c r="F24" s="217" t="s">
        <v>761</v>
      </c>
      <c r="G24" s="217" t="s">
        <v>13577</v>
      </c>
      <c r="H24" s="451" t="s">
        <v>14249</v>
      </c>
      <c r="I24" s="452" t="s">
        <v>1597</v>
      </c>
      <c r="J24" s="452" t="s">
        <v>15578</v>
      </c>
      <c r="K24" s="453" t="s">
        <v>14249</v>
      </c>
      <c r="L24" s="453" t="s">
        <v>14249</v>
      </c>
      <c r="M24" s="453" t="s">
        <v>14249</v>
      </c>
      <c r="N24" s="453" t="s">
        <v>14249</v>
      </c>
      <c r="O24" s="453" t="s">
        <v>14249</v>
      </c>
      <c r="P24" s="454" t="s">
        <v>14249</v>
      </c>
      <c r="Q24" s="455" t="s">
        <v>14249</v>
      </c>
      <c r="R24" s="217" t="str">
        <f ca="1">IF(ISERROR($V24),"",OFFSET('Smelter Look-up'!$C$4,$V24-4,0)&amp;"")</f>
        <v>Yunnan Copper Industry Co., Ltd.</v>
      </c>
      <c r="S24" s="225" t="str">
        <f t="shared" ca="1" si="3"/>
        <v>CN</v>
      </c>
      <c r="T24" s="225" t="str">
        <f ca="1">IF(B24="","",IF(ISERROR(MATCH($J24,SorP!$B$1:$B$6230,0)),"",INDIRECT("'SorP'!$A$"&amp;MATCH($J24,SorP!$B$1:$B$6230,0))))</f>
        <v/>
      </c>
      <c r="U24" s="241"/>
      <c r="V24" s="275">
        <f>IF(C24="",NA(),MATCH($B24&amp;$C24,'Smelter Look-up'!$J:$J,0))</f>
        <v>281</v>
      </c>
      <c r="W24" s="276"/>
      <c r="X24" s="276">
        <f t="shared" si="4"/>
        <v>0</v>
      </c>
      <c r="Y24" s="276"/>
      <c r="Z24" s="276"/>
      <c r="AB24" s="278" t="str">
        <f t="shared" si="5"/>
        <v>GoldYunnan Copper Industry Co., Ltd.</v>
      </c>
    </row>
    <row r="25" spans="1:28" s="277" customFormat="1" ht="61.9">
      <c r="A25" s="216" t="s">
        <v>764</v>
      </c>
      <c r="B25" s="217" t="s">
        <v>1155</v>
      </c>
      <c r="C25" s="450" t="s">
        <v>3</v>
      </c>
      <c r="D25" s="217"/>
      <c r="E25" s="217" t="s">
        <v>1123</v>
      </c>
      <c r="F25" s="217" t="s">
        <v>764</v>
      </c>
      <c r="G25" s="217" t="s">
        <v>13577</v>
      </c>
      <c r="H25" s="451" t="s">
        <v>15579</v>
      </c>
      <c r="I25" s="452" t="s">
        <v>1620</v>
      </c>
      <c r="J25" s="452" t="s">
        <v>15580</v>
      </c>
      <c r="K25" s="453" t="s">
        <v>15581</v>
      </c>
      <c r="L25" s="453" t="s">
        <v>15582</v>
      </c>
      <c r="M25" s="453" t="s">
        <v>15554</v>
      </c>
      <c r="N25" s="453" t="s">
        <v>15542</v>
      </c>
      <c r="O25" s="453" t="s">
        <v>15555</v>
      </c>
      <c r="P25" s="454" t="s">
        <v>499</v>
      </c>
      <c r="Q25" s="455" t="s">
        <v>15520</v>
      </c>
      <c r="R25" s="217" t="str">
        <f ca="1">IF(ISERROR($V25),"",OFFSET('Smelter Look-up'!$C$4,$V25-4,0)&amp;"")</f>
        <v>Changsha South Tantalum Niobium Co., Ltd.</v>
      </c>
      <c r="S25" s="225" t="str">
        <f t="shared" ca="1" si="3"/>
        <v>CN</v>
      </c>
      <c r="T25" s="225" t="str">
        <f ca="1">IF(B25="","",IF(ISERROR(MATCH($J25,SorP!$B$1:$B$6230,0)),"",INDIRECT("'SorP'!$A$"&amp;MATCH($J25,SorP!$B$1:$B$6230,0))))</f>
        <v/>
      </c>
      <c r="U25" s="241"/>
      <c r="V25" s="275">
        <f>IF(C25="",NA(),MATCH($B25&amp;$C25,'Smelter Look-up'!$J:$J,0))</f>
        <v>296</v>
      </c>
      <c r="W25" s="276"/>
      <c r="X25" s="276">
        <f t="shared" si="4"/>
        <v>0</v>
      </c>
      <c r="Y25" s="276"/>
      <c r="Z25" s="276"/>
      <c r="AB25" s="278" t="str">
        <f t="shared" si="5"/>
        <v>TantalumChangsha South Tantalum Niobium Co., Ltd.</v>
      </c>
    </row>
    <row r="26" spans="1:28" s="277" customFormat="1" ht="37.15">
      <c r="A26" s="216" t="s">
        <v>812</v>
      </c>
      <c r="B26" s="217" t="s">
        <v>1156</v>
      </c>
      <c r="C26" s="450" t="s">
        <v>1403</v>
      </c>
      <c r="D26" s="217"/>
      <c r="E26" s="217" t="s">
        <v>1123</v>
      </c>
      <c r="F26" s="217" t="s">
        <v>812</v>
      </c>
      <c r="G26" s="217" t="s">
        <v>13577</v>
      </c>
      <c r="H26" s="451" t="s">
        <v>15583</v>
      </c>
      <c r="I26" s="452" t="s">
        <v>1865</v>
      </c>
      <c r="J26" s="452" t="s">
        <v>15584</v>
      </c>
      <c r="K26" s="453" t="s">
        <v>15585</v>
      </c>
      <c r="L26" s="453" t="s">
        <v>15586</v>
      </c>
      <c r="M26" s="453" t="s">
        <v>15587</v>
      </c>
      <c r="N26" s="453" t="s">
        <v>15511</v>
      </c>
      <c r="O26" s="453" t="s">
        <v>15588</v>
      </c>
      <c r="P26" s="454" t="s">
        <v>499</v>
      </c>
      <c r="Q26" s="455" t="s">
        <v>15513</v>
      </c>
      <c r="R26" s="217" t="str">
        <f ca="1">IF(ISERROR($V26),"",OFFSET('Smelter Look-up'!$C$4,$V26-4,0)&amp;"")</f>
        <v>Guangdong Xianglu Tungsten Co., Ltd.</v>
      </c>
      <c r="S26" s="225" t="str">
        <f t="shared" ca="1" si="3"/>
        <v>CN</v>
      </c>
      <c r="T26" s="225" t="str">
        <f ca="1">IF(B26="","",IF(ISERROR(MATCH($J26,SorP!$B$1:$B$6230,0)),"",INDIRECT("'SorP'!$A$"&amp;MATCH($J26,SorP!$B$1:$B$6230,0))))</f>
        <v/>
      </c>
      <c r="U26" s="241"/>
      <c r="V26" s="275">
        <f>IF(C26="",NA(),MATCH($B26&amp;$C26,'Smelter Look-up'!$J:$J,0))</f>
        <v>514</v>
      </c>
      <c r="W26" s="276"/>
      <c r="X26" s="276">
        <f t="shared" si="4"/>
        <v>0</v>
      </c>
      <c r="Y26" s="276"/>
      <c r="Z26" s="276"/>
      <c r="AB26" s="278" t="str">
        <f t="shared" si="5"/>
        <v>TungstenGuangdong Xianglu Tungsten Co., Ltd.</v>
      </c>
    </row>
    <row r="27" spans="1:28" s="277" customFormat="1" ht="24.75">
      <c r="A27" s="216" t="s">
        <v>2403</v>
      </c>
      <c r="B27" s="217" t="s">
        <v>1154</v>
      </c>
      <c r="C27" s="450" t="s">
        <v>2463</v>
      </c>
      <c r="D27" s="217"/>
      <c r="E27" s="217" t="s">
        <v>1123</v>
      </c>
      <c r="F27" s="217" t="s">
        <v>2403</v>
      </c>
      <c r="G27" s="217" t="s">
        <v>13577</v>
      </c>
      <c r="H27" s="451" t="s">
        <v>15589</v>
      </c>
      <c r="I27" s="452" t="s">
        <v>1813</v>
      </c>
      <c r="J27" s="452" t="s">
        <v>15580</v>
      </c>
      <c r="K27" s="216" t="s">
        <v>15590</v>
      </c>
      <c r="L27" s="216" t="s">
        <v>15591</v>
      </c>
      <c r="M27" s="216"/>
      <c r="N27" s="216" t="s">
        <v>15592</v>
      </c>
      <c r="O27" s="216" t="s">
        <v>15593</v>
      </c>
      <c r="P27" s="454" t="s">
        <v>499</v>
      </c>
      <c r="Q27" s="455"/>
      <c r="R27" s="217" t="str">
        <f ca="1">IF(ISERROR($V27),"",OFFSET('Smelter Look-up'!$C$4,$V27-4,0)&amp;"")</f>
        <v>Chenzhou Yunxiang Mining and Metallurgy Co., Ltd.</v>
      </c>
      <c r="S27" s="225" t="str">
        <f t="shared" ca="1" si="3"/>
        <v>CN</v>
      </c>
      <c r="T27" s="225" t="str">
        <f ca="1">IF(B27="","",IF(ISERROR(MATCH($J27,SorP!$B$1:$B$6230,0)),"",INDIRECT("'SorP'!$A$"&amp;MATCH($J27,SorP!$B$1:$B$6230,0))))</f>
        <v/>
      </c>
      <c r="U27" s="241"/>
      <c r="V27" s="275">
        <f>IF(C27="",NA(),MATCH($B27&amp;$C27,'Smelter Look-up'!$J:$J,0))</f>
        <v>364</v>
      </c>
      <c r="W27" s="276"/>
      <c r="X27" s="276">
        <f t="shared" si="4"/>
        <v>0</v>
      </c>
      <c r="Y27" s="276"/>
      <c r="Z27" s="276"/>
      <c r="AB27" s="278" t="str">
        <f t="shared" si="5"/>
        <v>TinChenzhou Yunxiang Mining and Metallurgy Co., Ltd.</v>
      </c>
    </row>
    <row r="28" spans="1:28" s="277" customFormat="1" ht="24.75">
      <c r="A28" s="216" t="s">
        <v>682</v>
      </c>
      <c r="B28" s="217" t="s">
        <v>1153</v>
      </c>
      <c r="C28" s="450" t="s">
        <v>55</v>
      </c>
      <c r="D28" s="217"/>
      <c r="E28" s="217" t="s">
        <v>1130</v>
      </c>
      <c r="F28" s="217" t="s">
        <v>682</v>
      </c>
      <c r="G28" s="217" t="s">
        <v>13577</v>
      </c>
      <c r="H28" s="451" t="s">
        <v>15594</v>
      </c>
      <c r="I28" s="452" t="s">
        <v>1599</v>
      </c>
      <c r="J28" s="452" t="s">
        <v>6691</v>
      </c>
      <c r="K28" s="453" t="s">
        <v>15595</v>
      </c>
      <c r="L28" s="453" t="s">
        <v>15596</v>
      </c>
      <c r="M28" s="453" t="s">
        <v>15597</v>
      </c>
      <c r="N28" s="453" t="s">
        <v>15511</v>
      </c>
      <c r="O28" s="453" t="s">
        <v>15533</v>
      </c>
      <c r="P28" s="454"/>
      <c r="Q28" s="455" t="s">
        <v>15520</v>
      </c>
      <c r="R28" s="217" t="str">
        <f ca="1">IF(ISERROR($V28),"",OFFSET('Smelter Look-up'!$C$4,$V28-4,0)&amp;"")</f>
        <v>Chimet S.p.A.</v>
      </c>
      <c r="S28" s="225" t="str">
        <f t="shared" ca="1" si="3"/>
        <v>IT</v>
      </c>
      <c r="T28" s="225" t="str">
        <f ca="1">IF(B28="","",IF(ISERROR(MATCH($J28,SorP!$B$1:$B$6230,0)),"",INDIRECT("'SorP'!$A$"&amp;MATCH($J28,SorP!$B$1:$B$6230,0))))</f>
        <v>IT-52</v>
      </c>
      <c r="U28" s="241"/>
      <c r="V28" s="275">
        <f>IF(C28="",NA(),MATCH($B28&amp;$C28,'Smelter Look-up'!$J:$J,0))</f>
        <v>51</v>
      </c>
      <c r="W28" s="276"/>
      <c r="X28" s="276">
        <f t="shared" si="4"/>
        <v>0</v>
      </c>
      <c r="Y28" s="276"/>
      <c r="Z28" s="276"/>
      <c r="AB28" s="278" t="str">
        <f t="shared" si="5"/>
        <v>GoldChimet S.p.A.</v>
      </c>
    </row>
    <row r="29" spans="1:28" s="277" customFormat="1" ht="24.75">
      <c r="A29" s="216" t="s">
        <v>15598</v>
      </c>
      <c r="B29" s="217" t="s">
        <v>1154</v>
      </c>
      <c r="C29" s="450" t="s">
        <v>15599</v>
      </c>
      <c r="D29" s="217"/>
      <c r="E29" s="217" t="s">
        <v>1123</v>
      </c>
      <c r="F29" s="217" t="s">
        <v>15598</v>
      </c>
      <c r="G29" s="217" t="s">
        <v>13577</v>
      </c>
      <c r="H29" s="451" t="s">
        <v>15600</v>
      </c>
      <c r="I29" s="452" t="s">
        <v>1776</v>
      </c>
      <c r="J29" s="452" t="s">
        <v>15601</v>
      </c>
      <c r="K29" s="453" t="s">
        <v>15602</v>
      </c>
      <c r="L29" s="453" t="s">
        <v>15603</v>
      </c>
      <c r="M29" s="453" t="s">
        <v>15604</v>
      </c>
      <c r="N29" s="453" t="s">
        <v>15511</v>
      </c>
      <c r="O29" s="453" t="s">
        <v>15588</v>
      </c>
      <c r="P29" s="454" t="s">
        <v>499</v>
      </c>
      <c r="Q29" s="455" t="s">
        <v>15520</v>
      </c>
      <c r="R29" s="217" t="str">
        <f ca="1">IF(ISERROR($V29),"",OFFSET('Smelter Look-up'!$C$4,$V29-4,0)&amp;"")</f>
        <v/>
      </c>
      <c r="S29" s="225" t="str">
        <f t="shared" ca="1" si="3"/>
        <v>CN</v>
      </c>
      <c r="T29" s="225" t="str">
        <f ca="1">IF(B29="","",IF(ISERROR(MATCH($J29,SorP!$B$1:$B$6230,0)),"",INDIRECT("'SorP'!$A$"&amp;MATCH($J29,SorP!$B$1:$B$6230,0))))</f>
        <v/>
      </c>
      <c r="U29" s="241"/>
      <c r="V29" s="275" t="e">
        <f>IF(C29="",NA(),MATCH($B29&amp;$C29,'Smelter Look-up'!$J:$J,0))</f>
        <v>#N/A</v>
      </c>
      <c r="W29" s="276"/>
      <c r="X29" s="276">
        <f t="shared" si="4"/>
        <v>0</v>
      </c>
      <c r="Y29" s="276"/>
      <c r="Z29" s="276"/>
      <c r="AB29" s="278" t="str">
        <f t="shared" si="5"/>
        <v>TinJiangxi Ketai Advanced Material Co., Ltd.</v>
      </c>
    </row>
    <row r="30" spans="1:28" s="277" customFormat="1" ht="37.15">
      <c r="A30" s="216" t="s">
        <v>813</v>
      </c>
      <c r="B30" s="217" t="s">
        <v>1156</v>
      </c>
      <c r="C30" s="450" t="s">
        <v>1402</v>
      </c>
      <c r="D30" s="217"/>
      <c r="E30" s="217" t="s">
        <v>1123</v>
      </c>
      <c r="F30" s="217" t="s">
        <v>813</v>
      </c>
      <c r="G30" s="217" t="s">
        <v>13577</v>
      </c>
      <c r="H30" s="451" t="s">
        <v>15605</v>
      </c>
      <c r="I30" s="452" t="s">
        <v>1812</v>
      </c>
      <c r="J30" s="452" t="s">
        <v>15601</v>
      </c>
      <c r="K30" s="453" t="s">
        <v>15606</v>
      </c>
      <c r="L30" s="453" t="s">
        <v>15607</v>
      </c>
      <c r="M30" s="453" t="s">
        <v>15554</v>
      </c>
      <c r="N30" s="453" t="s">
        <v>15608</v>
      </c>
      <c r="O30" s="453" t="s">
        <v>15609</v>
      </c>
      <c r="P30" s="454" t="s">
        <v>499</v>
      </c>
      <c r="Q30" s="455" t="s">
        <v>15513</v>
      </c>
      <c r="R30" s="217" t="str">
        <f ca="1">IF(ISERROR($V30),"",OFFSET('Smelter Look-up'!$C$4,$V30-4,0)&amp;"")</f>
        <v>Chongyi Zhangyuan Tungsten Co., Ltd.</v>
      </c>
      <c r="S30" s="225" t="str">
        <f t="shared" ca="1" si="3"/>
        <v>CN</v>
      </c>
      <c r="T30" s="225" t="str">
        <f ca="1">IF(B30="","",IF(ISERROR(MATCH($J30,SorP!$B$1:$B$6230,0)),"",INDIRECT("'SorP'!$A$"&amp;MATCH($J30,SorP!$B$1:$B$6230,0))))</f>
        <v/>
      </c>
      <c r="U30" s="241"/>
      <c r="V30" s="275">
        <f>IF(C30="",NA(),MATCH($B30&amp;$C30,'Smelter Look-up'!$J:$J,0))</f>
        <v>501</v>
      </c>
      <c r="W30" s="276"/>
      <c r="X30" s="276">
        <f t="shared" si="4"/>
        <v>0</v>
      </c>
      <c r="Y30" s="276"/>
      <c r="Z30" s="276"/>
      <c r="AB30" s="278" t="str">
        <f t="shared" si="5"/>
        <v>TungstenChongyi Zhangyuan Tungsten Co., Ltd.</v>
      </c>
    </row>
    <row r="31" spans="1:28" s="277" customFormat="1" ht="20.25">
      <c r="A31" s="216" t="s">
        <v>683</v>
      </c>
      <c r="B31" s="217" t="s">
        <v>1153</v>
      </c>
      <c r="C31" s="450" t="s">
        <v>550</v>
      </c>
      <c r="D31" s="217"/>
      <c r="E31" s="217" t="s">
        <v>1131</v>
      </c>
      <c r="F31" s="217" t="s">
        <v>683</v>
      </c>
      <c r="G31" s="217" t="s">
        <v>13577</v>
      </c>
      <c r="H31" s="451" t="s">
        <v>14249</v>
      </c>
      <c r="I31" s="452" t="s">
        <v>1600</v>
      </c>
      <c r="J31" s="452" t="s">
        <v>1571</v>
      </c>
      <c r="K31" s="453" t="s">
        <v>14249</v>
      </c>
      <c r="L31" s="453" t="s">
        <v>14249</v>
      </c>
      <c r="M31" s="453" t="s">
        <v>14249</v>
      </c>
      <c r="N31" s="453" t="s">
        <v>14249</v>
      </c>
      <c r="O31" s="453" t="s">
        <v>14249</v>
      </c>
      <c r="P31" s="454" t="s">
        <v>14249</v>
      </c>
      <c r="Q31" s="455" t="s">
        <v>14249</v>
      </c>
      <c r="R31" s="217" t="str">
        <f ca="1">IF(ISERROR($V31),"",OFFSET('Smelter Look-up'!$C$4,$V31-4,0)&amp;"")</f>
        <v>Chugai Mining</v>
      </c>
      <c r="S31" s="225" t="str">
        <f t="shared" ca="1" si="3"/>
        <v>JP</v>
      </c>
      <c r="T31" s="225" t="str">
        <f ca="1">IF(B31="","",IF(ISERROR(MATCH($J31,SorP!$B$1:$B$6230,0)),"",INDIRECT("'SorP'!$A$"&amp;MATCH($J31,SorP!$B$1:$B$6230,0))))</f>
        <v>JP-13</v>
      </c>
      <c r="U31" s="241"/>
      <c r="V31" s="275">
        <f>IF(C31="",NA(),MATCH($B31&amp;$C31,'Smelter Look-up'!$J:$J,0))</f>
        <v>54</v>
      </c>
      <c r="W31" s="276"/>
      <c r="X31" s="276">
        <f t="shared" si="4"/>
        <v>0</v>
      </c>
      <c r="Y31" s="276"/>
      <c r="Z31" s="276"/>
      <c r="AB31" s="278" t="str">
        <f t="shared" si="5"/>
        <v>GoldChugai Mining</v>
      </c>
    </row>
    <row r="32" spans="1:28" s="277" customFormat="1" ht="20.25">
      <c r="A32" s="456" t="s">
        <v>15610</v>
      </c>
      <c r="B32" s="217" t="s">
        <v>1154</v>
      </c>
      <c r="C32" s="450" t="s">
        <v>2247</v>
      </c>
      <c r="D32" s="217"/>
      <c r="E32" s="217" t="s">
        <v>1123</v>
      </c>
      <c r="F32" s="217" t="s">
        <v>15610</v>
      </c>
      <c r="G32" s="457" t="s">
        <v>15611</v>
      </c>
      <c r="H32" s="451">
        <v>0</v>
      </c>
      <c r="I32" s="452" t="s">
        <v>1797</v>
      </c>
      <c r="J32" s="452" t="s">
        <v>15612</v>
      </c>
      <c r="K32" s="453"/>
      <c r="L32" s="453"/>
      <c r="M32" s="453"/>
      <c r="N32" s="453"/>
      <c r="O32" s="453"/>
      <c r="P32" s="454"/>
      <c r="Q32" s="455"/>
      <c r="R32" s="217" t="str">
        <f ca="1">IF(ISERROR($V32),"",OFFSET('Smelter Look-up'!$C$4,$V32-4,0)&amp;"")</f>
        <v/>
      </c>
      <c r="S32" s="225" t="str">
        <f t="shared" ca="1" si="3"/>
        <v>CN</v>
      </c>
      <c r="T32" s="225" t="str">
        <f ca="1">IF(B32="","",IF(ISERROR(MATCH($J32,SorP!$B$1:$B$6230,0)),"",INDIRECT("'SorP'!$A$"&amp;MATCH($J32,SorP!$B$1:$B$6230,0))))</f>
        <v/>
      </c>
      <c r="U32" s="241"/>
      <c r="V32" s="275" t="e">
        <f>IF(C32="",NA(),MATCH($B32&amp;$C32,'Smelter Look-up'!$J:$J,0))</f>
        <v>#N/A</v>
      </c>
      <c r="W32" s="276"/>
      <c r="X32" s="276">
        <f t="shared" si="4"/>
        <v>0</v>
      </c>
      <c r="Y32" s="276"/>
      <c r="Z32" s="276"/>
      <c r="AB32" s="278" t="str">
        <f t="shared" si="5"/>
        <v>TinCNMC (Guangxi) PGMA Co., Ltd.</v>
      </c>
    </row>
    <row r="33" spans="1:28" s="277" customFormat="1" ht="49.5">
      <c r="A33" s="216" t="s">
        <v>15613</v>
      </c>
      <c r="B33" s="217" t="s">
        <v>1155</v>
      </c>
      <c r="C33" s="450" t="s">
        <v>15614</v>
      </c>
      <c r="D33" s="217"/>
      <c r="E33" s="217" t="s">
        <v>1123</v>
      </c>
      <c r="F33" s="217" t="s">
        <v>15613</v>
      </c>
      <c r="G33" s="217" t="s">
        <v>13577</v>
      </c>
      <c r="H33" s="451" t="s">
        <v>15615</v>
      </c>
      <c r="I33" s="452" t="s">
        <v>15616</v>
      </c>
      <c r="J33" s="452" t="s">
        <v>15584</v>
      </c>
      <c r="K33" s="453" t="s">
        <v>15617</v>
      </c>
      <c r="L33" s="453" t="s">
        <v>15618</v>
      </c>
      <c r="M33" s="453" t="s">
        <v>15619</v>
      </c>
      <c r="N33" s="453" t="s">
        <v>15511</v>
      </c>
      <c r="O33" s="453" t="s">
        <v>15620</v>
      </c>
      <c r="P33" s="454"/>
      <c r="Q33" s="455" t="s">
        <v>15513</v>
      </c>
      <c r="R33" s="217" t="str">
        <f ca="1">IF(ISERROR($V33),"",OFFSET('Smelter Look-up'!$C$4,$V33-4,0)&amp;"")</f>
        <v/>
      </c>
      <c r="S33" s="225" t="str">
        <f t="shared" ca="1" si="3"/>
        <v>CN</v>
      </c>
      <c r="T33" s="225" t="str">
        <f ca="1">IF(B33="","",IF(ISERROR(MATCH($J33,SorP!$B$1:$B$6230,0)),"",INDIRECT("'SorP'!$A$"&amp;MATCH($J33,SorP!$B$1:$B$6230,0))))</f>
        <v/>
      </c>
      <c r="U33" s="241"/>
      <c r="V33" s="275" t="e">
        <f>IF(C33="",NA(),MATCH($B33&amp;$C33,'Smelter Look-up'!$J:$J,0))</f>
        <v>#N/A</v>
      </c>
      <c r="W33" s="276"/>
      <c r="X33" s="276">
        <f t="shared" si="4"/>
        <v>0</v>
      </c>
      <c r="Y33" s="276"/>
      <c r="Z33" s="276"/>
      <c r="AB33" s="278" t="str">
        <f t="shared" si="5"/>
        <v>TantalumGuangdong Rising Rare Metals-EO Materials Ltd.</v>
      </c>
    </row>
    <row r="34" spans="1:28" s="277" customFormat="1" ht="24.75">
      <c r="A34" s="216" t="s">
        <v>783</v>
      </c>
      <c r="B34" s="217" t="s">
        <v>1154</v>
      </c>
      <c r="C34" s="450" t="s">
        <v>51</v>
      </c>
      <c r="D34" s="217"/>
      <c r="E34" s="217" t="s">
        <v>2576</v>
      </c>
      <c r="F34" s="217" t="s">
        <v>783</v>
      </c>
      <c r="G34" s="217" t="s">
        <v>13577</v>
      </c>
      <c r="H34" s="451" t="s">
        <v>15621</v>
      </c>
      <c r="I34" s="452" t="s">
        <v>1798</v>
      </c>
      <c r="J34" s="452" t="s">
        <v>1774</v>
      </c>
      <c r="K34" s="453" t="s">
        <v>15622</v>
      </c>
      <c r="L34" s="453" t="s">
        <v>15623</v>
      </c>
      <c r="M34" s="453" t="s">
        <v>15624</v>
      </c>
      <c r="N34" s="453" t="s">
        <v>15542</v>
      </c>
      <c r="O34" s="453" t="s">
        <v>15555</v>
      </c>
      <c r="P34" s="454" t="s">
        <v>499</v>
      </c>
      <c r="Q34" s="455" t="s">
        <v>15513</v>
      </c>
      <c r="R34" s="217" t="str">
        <f ca="1">IF(ISERROR($V34),"",OFFSET('Smelter Look-up'!$C$4,$V34-4,0)&amp;"")</f>
        <v>Alpha</v>
      </c>
      <c r="S34" s="225" t="str">
        <f t="shared" ca="1" si="3"/>
        <v>US</v>
      </c>
      <c r="T34" s="225" t="str">
        <f ca="1">IF(B34="","",IF(ISERROR(MATCH($J34,SorP!$B$1:$B$6230,0)),"",INDIRECT("'SorP'!$A$"&amp;MATCH($J34,SorP!$B$1:$B$6230,0))))</f>
        <v>US-PA</v>
      </c>
      <c r="U34" s="241"/>
      <c r="V34" s="275">
        <f>IF(C34="",NA(),MATCH($B34&amp;$C34,'Smelter Look-up'!$J:$J,0))</f>
        <v>356</v>
      </c>
      <c r="W34" s="276"/>
      <c r="X34" s="276">
        <f t="shared" si="4"/>
        <v>0</v>
      </c>
      <c r="Y34" s="276"/>
      <c r="Z34" s="276"/>
      <c r="AB34" s="278" t="str">
        <f t="shared" si="5"/>
        <v>TinAlpha</v>
      </c>
    </row>
    <row r="35" spans="1:28" s="277" customFormat="1" ht="20.25">
      <c r="A35" s="458" t="s">
        <v>15625</v>
      </c>
      <c r="B35" s="459" t="s">
        <v>1154</v>
      </c>
      <c r="C35" s="450" t="s">
        <v>15626</v>
      </c>
      <c r="D35" s="217"/>
      <c r="E35" s="217" t="s">
        <v>1119</v>
      </c>
      <c r="F35" s="217" t="s">
        <v>15625</v>
      </c>
      <c r="G35" s="217" t="s">
        <v>15611</v>
      </c>
      <c r="H35" s="451">
        <v>0</v>
      </c>
      <c r="I35" s="452" t="s">
        <v>1804</v>
      </c>
      <c r="J35" s="452" t="s">
        <v>1808</v>
      </c>
      <c r="K35" s="453"/>
      <c r="L35" s="453"/>
      <c r="M35" s="453"/>
      <c r="N35" s="460"/>
      <c r="O35" s="460"/>
      <c r="P35" s="461" t="s">
        <v>499</v>
      </c>
      <c r="Q35" s="462" t="s">
        <v>15627</v>
      </c>
      <c r="R35" s="217" t="str">
        <f ca="1">IF(ISERROR($V35),"",OFFSET('Smelter Look-up'!$C$4,$V35-4,0)&amp;"")</f>
        <v/>
      </c>
      <c r="S35" s="225" t="str">
        <f t="shared" ca="1" si="3"/>
        <v>BR</v>
      </c>
      <c r="T35" s="225" t="str">
        <f ca="1">IF(B35="","",IF(ISERROR(MATCH($J35,SorP!$B$1:$B$6230,0)),"",INDIRECT("'SorP'!$A$"&amp;MATCH($J35,SorP!$B$1:$B$6230,0))))</f>
        <v>BR-RO</v>
      </c>
      <c r="U35" s="241"/>
      <c r="V35" s="275" t="e">
        <f>IF(C35="",NA(),MATCH($B35&amp;$C35,'Smelter Look-up'!$J:$J,0))</f>
        <v>#N/A</v>
      </c>
      <c r="W35" s="276"/>
      <c r="X35" s="276">
        <f t="shared" si="4"/>
        <v>0</v>
      </c>
      <c r="Y35" s="276"/>
      <c r="Z35" s="276"/>
      <c r="AB35" s="278" t="str">
        <f t="shared" si="5"/>
        <v>TinCooperativa Metalurgica de Rondonia Ltda.</v>
      </c>
    </row>
    <row r="36" spans="1:28" s="277" customFormat="1" ht="37.15">
      <c r="A36" s="216" t="s">
        <v>15628</v>
      </c>
      <c r="B36" s="217" t="s">
        <v>1154</v>
      </c>
      <c r="C36" s="450" t="s">
        <v>15629</v>
      </c>
      <c r="D36" s="217"/>
      <c r="E36" s="217" t="s">
        <v>1128</v>
      </c>
      <c r="F36" s="217" t="s">
        <v>15628</v>
      </c>
      <c r="G36" s="217" t="s">
        <v>13577</v>
      </c>
      <c r="H36" s="451" t="s">
        <v>15630</v>
      </c>
      <c r="I36" s="452" t="s">
        <v>1805</v>
      </c>
      <c r="J36" s="452" t="s">
        <v>13183</v>
      </c>
      <c r="K36" s="453" t="s">
        <v>15631</v>
      </c>
      <c r="L36" s="453" t="s">
        <v>15632</v>
      </c>
      <c r="M36" s="453" t="s">
        <v>15633</v>
      </c>
      <c r="N36" s="453" t="s">
        <v>15511</v>
      </c>
      <c r="O36" s="453" t="s">
        <v>15588</v>
      </c>
      <c r="P36" s="454" t="s">
        <v>499</v>
      </c>
      <c r="Q36" s="455" t="s">
        <v>15513</v>
      </c>
      <c r="R36" s="217" t="str">
        <f ca="1">IF(ISERROR($V36),"",OFFSET('Smelter Look-up'!$C$4,$V36-4,0)&amp;"")</f>
        <v/>
      </c>
      <c r="S36" s="225" t="str">
        <f t="shared" ca="1" si="3"/>
        <v>ID</v>
      </c>
      <c r="T36" s="225" t="str">
        <f ca="1">IF(B36="","",IF(ISERROR(MATCH($J36,SorP!$B$1:$B$6230,0)),"",INDIRECT("'SorP'!$A$"&amp;MATCH($J36,SorP!$B$1:$B$6230,0))))</f>
        <v>ID-BB</v>
      </c>
      <c r="U36" s="241"/>
      <c r="V36" s="275" t="e">
        <f>IF(C36="",NA(),MATCH($B36&amp;$C36,'Smelter Look-up'!$J:$J,0))</f>
        <v>#N/A</v>
      </c>
      <c r="W36" s="276"/>
      <c r="X36" s="276">
        <f t="shared" si="4"/>
        <v>0</v>
      </c>
      <c r="Y36" s="276"/>
      <c r="Z36" s="276"/>
      <c r="AB36" s="278" t="str">
        <f t="shared" si="5"/>
        <v>TinCV Gita Pesona</v>
      </c>
    </row>
    <row r="37" spans="1:28" s="277" customFormat="1" ht="61.9">
      <c r="A37" s="216" t="s">
        <v>15634</v>
      </c>
      <c r="B37" s="217" t="s">
        <v>1154</v>
      </c>
      <c r="C37" s="450" t="s">
        <v>15635</v>
      </c>
      <c r="D37" s="217"/>
      <c r="E37" s="217" t="s">
        <v>1128</v>
      </c>
      <c r="F37" s="217" t="s">
        <v>15634</v>
      </c>
      <c r="G37" s="217" t="s">
        <v>13577</v>
      </c>
      <c r="H37" s="451" t="s">
        <v>15636</v>
      </c>
      <c r="I37" s="452" t="s">
        <v>15637</v>
      </c>
      <c r="J37" s="452" t="s">
        <v>13183</v>
      </c>
      <c r="K37" s="453" t="s">
        <v>15638</v>
      </c>
      <c r="L37" s="453" t="s">
        <v>15639</v>
      </c>
      <c r="M37" s="453" t="s">
        <v>15640</v>
      </c>
      <c r="N37" s="453" t="s">
        <v>15511</v>
      </c>
      <c r="O37" s="453" t="s">
        <v>15588</v>
      </c>
      <c r="P37" s="454" t="s">
        <v>499</v>
      </c>
      <c r="Q37" s="455" t="s">
        <v>15513</v>
      </c>
      <c r="R37" s="217" t="str">
        <f ca="1">IF(ISERROR($V37),"",OFFSET('Smelter Look-up'!$C$4,$V37-4,0)&amp;"")</f>
        <v/>
      </c>
      <c r="S37" s="225" t="str">
        <f t="shared" ca="1" si="3"/>
        <v>ID</v>
      </c>
      <c r="T37" s="225" t="str">
        <f ca="1">IF(B37="","",IF(ISERROR(MATCH($J37,SorP!$B$1:$B$6230,0)),"",INDIRECT("'SorP'!$A$"&amp;MATCH($J37,SorP!$B$1:$B$6230,0))))</f>
        <v>ID-BB</v>
      </c>
      <c r="U37" s="241"/>
      <c r="V37" s="275" t="e">
        <f>IF(C37="",NA(),MATCH($B37&amp;$C37,'Smelter Look-up'!$J:$J,0))</f>
        <v>#N/A</v>
      </c>
      <c r="W37" s="276"/>
      <c r="X37" s="276">
        <f t="shared" si="4"/>
        <v>0</v>
      </c>
      <c r="Y37" s="276"/>
      <c r="Z37" s="276"/>
      <c r="AB37" s="278" t="str">
        <f t="shared" si="5"/>
        <v>TinPT Aries Kencana Sejahtera</v>
      </c>
    </row>
    <row r="38" spans="1:28" s="277" customFormat="1" ht="49.5">
      <c r="A38" s="216" t="s">
        <v>15641</v>
      </c>
      <c r="B38" s="217" t="s">
        <v>1154</v>
      </c>
      <c r="C38" s="450" t="s">
        <v>15642</v>
      </c>
      <c r="D38" s="217"/>
      <c r="E38" s="217" t="s">
        <v>1128</v>
      </c>
      <c r="F38" s="217" t="s">
        <v>15641</v>
      </c>
      <c r="G38" s="217" t="s">
        <v>13577</v>
      </c>
      <c r="H38" s="451" t="s">
        <v>15643</v>
      </c>
      <c r="I38" s="452" t="s">
        <v>15644</v>
      </c>
      <c r="J38" s="452" t="s">
        <v>13183</v>
      </c>
      <c r="K38" s="453" t="s">
        <v>15645</v>
      </c>
      <c r="L38" s="453" t="s">
        <v>15646</v>
      </c>
      <c r="M38" s="453" t="s">
        <v>15647</v>
      </c>
      <c r="N38" s="453" t="s">
        <v>15511</v>
      </c>
      <c r="O38" s="453" t="s">
        <v>15588</v>
      </c>
      <c r="P38" s="454" t="s">
        <v>499</v>
      </c>
      <c r="Q38" s="455" t="s">
        <v>15513</v>
      </c>
      <c r="R38" s="217" t="str">
        <f ca="1">IF(ISERROR($V38),"",OFFSET('Smelter Look-up'!$C$4,$V38-4,0)&amp;"")</f>
        <v/>
      </c>
      <c r="S38" s="225" t="str">
        <f t="shared" ref="S38:S68" ca="1" si="6">IF(B38="","",IF(ISERROR(MATCH($E38,CL,0)),"Unknown",INDIRECT("'C'!$A$"&amp;MATCH($E38,CL,0)+1)))</f>
        <v>ID</v>
      </c>
      <c r="T38" s="225" t="str">
        <f ca="1">IF(B38="","",IF(ISERROR(MATCH($J38,SorP!$B$1:$B$6230,0)),"",INDIRECT("'SorP'!$A$"&amp;MATCH($J38,SorP!$B$1:$B$6230,0))))</f>
        <v>ID-BB</v>
      </c>
      <c r="U38" s="241"/>
      <c r="V38" s="275" t="e">
        <f>IF(C38="",NA(),MATCH($B38&amp;$C38,'Smelter Look-up'!$J:$J,0))</f>
        <v>#N/A</v>
      </c>
      <c r="W38" s="276"/>
      <c r="X38" s="276">
        <f t="shared" ref="X38:X68" si="7">IF(AND(C38="Smelter not listed",OR(LEN(D38)=0,LEN(E38)=0)),1,0)</f>
        <v>0</v>
      </c>
      <c r="Y38" s="276"/>
      <c r="Z38" s="276"/>
      <c r="AB38" s="278" t="str">
        <f t="shared" ref="AB38:AB68" si="8">B38&amp;C38</f>
        <v>TinPT Premium Tin Indonesia</v>
      </c>
    </row>
    <row r="39" spans="1:28" s="277" customFormat="1" ht="37.15">
      <c r="A39" s="216" t="s">
        <v>15648</v>
      </c>
      <c r="B39" s="217" t="s">
        <v>1154</v>
      </c>
      <c r="C39" s="450" t="s">
        <v>15649</v>
      </c>
      <c r="D39" s="217"/>
      <c r="E39" s="217" t="s">
        <v>1128</v>
      </c>
      <c r="F39" s="217" t="s">
        <v>15648</v>
      </c>
      <c r="G39" s="217" t="s">
        <v>13577</v>
      </c>
      <c r="H39" s="451" t="s">
        <v>15650</v>
      </c>
      <c r="I39" s="452" t="s">
        <v>15651</v>
      </c>
      <c r="J39" s="452" t="s">
        <v>13183</v>
      </c>
      <c r="K39" s="453" t="s">
        <v>15652</v>
      </c>
      <c r="L39" s="453" t="s">
        <v>15653</v>
      </c>
      <c r="M39" s="453" t="s">
        <v>15554</v>
      </c>
      <c r="N39" s="453" t="s">
        <v>15654</v>
      </c>
      <c r="O39" s="453" t="s">
        <v>15655</v>
      </c>
      <c r="P39" s="454" t="s">
        <v>499</v>
      </c>
      <c r="Q39" s="455" t="s">
        <v>15513</v>
      </c>
      <c r="R39" s="217" t="str">
        <f ca="1">IF(ISERROR($V39),"",OFFSET('Smelter Look-up'!$C$4,$V39-4,0)&amp;"")</f>
        <v/>
      </c>
      <c r="S39" s="225" t="str">
        <f t="shared" ca="1" si="6"/>
        <v>ID</v>
      </c>
      <c r="T39" s="225" t="str">
        <f ca="1">IF(B39="","",IF(ISERROR(MATCH($J39,SorP!$B$1:$B$6230,0)),"",INDIRECT("'SorP'!$A$"&amp;MATCH($J39,SorP!$B$1:$B$6230,0))))</f>
        <v>ID-BB</v>
      </c>
      <c r="U39" s="241"/>
      <c r="V39" s="275" t="e">
        <f>IF(C39="",NA(),MATCH($B39&amp;$C39,'Smelter Look-up'!$J:$J,0))</f>
        <v>#N/A</v>
      </c>
      <c r="W39" s="276"/>
      <c r="X39" s="276">
        <f t="shared" si="7"/>
        <v>0</v>
      </c>
      <c r="Y39" s="276"/>
      <c r="Z39" s="276"/>
      <c r="AB39" s="278" t="str">
        <f t="shared" si="8"/>
        <v>TinCV United Smelting</v>
      </c>
    </row>
    <row r="40" spans="1:28" s="277" customFormat="1" ht="37.15">
      <c r="A40" s="216" t="s">
        <v>15656</v>
      </c>
      <c r="B40" s="217" t="s">
        <v>1153</v>
      </c>
      <c r="C40" s="450" t="s">
        <v>15657</v>
      </c>
      <c r="D40" s="217"/>
      <c r="E40" s="217" t="s">
        <v>1134</v>
      </c>
      <c r="F40" s="217" t="s">
        <v>15656</v>
      </c>
      <c r="G40" s="217" t="s">
        <v>13577</v>
      </c>
      <c r="H40" s="451" t="s">
        <v>15658</v>
      </c>
      <c r="I40" s="452" t="s">
        <v>15659</v>
      </c>
      <c r="J40" s="452" t="s">
        <v>13197</v>
      </c>
      <c r="K40" s="453" t="s">
        <v>15660</v>
      </c>
      <c r="L40" s="453" t="s">
        <v>15661</v>
      </c>
      <c r="M40" s="453" t="s">
        <v>15662</v>
      </c>
      <c r="N40" s="453" t="s">
        <v>15518</v>
      </c>
      <c r="O40" s="453" t="s">
        <v>15519</v>
      </c>
      <c r="P40" s="454" t="s">
        <v>498</v>
      </c>
      <c r="Q40" s="455" t="s">
        <v>15520</v>
      </c>
      <c r="R40" s="217" t="str">
        <f ca="1">IF(ISERROR($V40),"",OFFSET('Smelter Look-up'!$C$4,$V40-4,0)&amp;"")</f>
        <v/>
      </c>
      <c r="S40" s="225" t="str">
        <f t="shared" ca="1" si="6"/>
        <v>KR</v>
      </c>
      <c r="T40" s="225" t="str">
        <f ca="1">IF(B40="","",IF(ISERROR(MATCH($J40,SorP!$B$1:$B$6230,0)),"",INDIRECT("'SorP'!$A$"&amp;MATCH($J40,SorP!$B$1:$B$6230,0))))</f>
        <v>KR-28</v>
      </c>
      <c r="U40" s="241"/>
      <c r="V40" s="275" t="e">
        <f>IF(C40="",NA(),MATCH($B40&amp;$C40,'Smelter Look-up'!$J:$J,0))</f>
        <v>#N/A</v>
      </c>
      <c r="W40" s="276"/>
      <c r="X40" s="276">
        <f t="shared" si="7"/>
        <v>0</v>
      </c>
      <c r="Y40" s="276"/>
      <c r="Z40" s="276"/>
      <c r="AB40" s="278" t="str">
        <f t="shared" si="8"/>
        <v>GoldDaejin Indus Co., Ltd.</v>
      </c>
    </row>
    <row r="41" spans="1:28" s="277" customFormat="1" ht="20.25">
      <c r="A41" s="216" t="s">
        <v>685</v>
      </c>
      <c r="B41" s="217" t="s">
        <v>1153</v>
      </c>
      <c r="C41" s="450" t="s">
        <v>684</v>
      </c>
      <c r="D41" s="217"/>
      <c r="E41" s="217" t="s">
        <v>1123</v>
      </c>
      <c r="F41" s="217" t="s">
        <v>685</v>
      </c>
      <c r="G41" s="217" t="s">
        <v>13577</v>
      </c>
      <c r="H41" s="451" t="s">
        <v>14249</v>
      </c>
      <c r="I41" s="452" t="s">
        <v>1602</v>
      </c>
      <c r="J41" s="452" t="s">
        <v>15663</v>
      </c>
      <c r="K41" s="453" t="s">
        <v>14249</v>
      </c>
      <c r="L41" s="453" t="s">
        <v>14249</v>
      </c>
      <c r="M41" s="453" t="s">
        <v>14249</v>
      </c>
      <c r="N41" s="453" t="s">
        <v>14249</v>
      </c>
      <c r="O41" s="453" t="s">
        <v>14249</v>
      </c>
      <c r="P41" s="454" t="s">
        <v>14249</v>
      </c>
      <c r="Q41" s="455" t="s">
        <v>14249</v>
      </c>
      <c r="R41" s="217" t="str">
        <f ca="1">IF(ISERROR($V41),"",OFFSET('Smelter Look-up'!$C$4,$V41-4,0)&amp;"")</f>
        <v>Daye Non-Ferrous Metals Mining Ltd.</v>
      </c>
      <c r="S41" s="225" t="str">
        <f t="shared" ca="1" si="6"/>
        <v>CN</v>
      </c>
      <c r="T41" s="225" t="str">
        <f ca="1">IF(B41="","",IF(ISERROR(MATCH($J41,SorP!$B$1:$B$6230,0)),"",INDIRECT("'SorP'!$A$"&amp;MATCH($J41,SorP!$B$1:$B$6230,0))))</f>
        <v/>
      </c>
      <c r="U41" s="241"/>
      <c r="V41" s="275">
        <f>IF(C41="",NA(),MATCH($B41&amp;$C41,'Smelter Look-up'!$J:$J,0))</f>
        <v>55</v>
      </c>
      <c r="W41" s="276"/>
      <c r="X41" s="276">
        <f t="shared" si="7"/>
        <v>0</v>
      </c>
      <c r="Y41" s="276"/>
      <c r="Z41" s="276"/>
      <c r="AB41" s="278" t="str">
        <f t="shared" si="8"/>
        <v>GoldDaye Non-Ferrous Metals Mining Ltd.</v>
      </c>
    </row>
    <row r="42" spans="1:28" s="277" customFormat="1" ht="37.15">
      <c r="A42" s="216" t="s">
        <v>686</v>
      </c>
      <c r="B42" s="217" t="s">
        <v>1153</v>
      </c>
      <c r="C42" s="450" t="s">
        <v>2368</v>
      </c>
      <c r="D42" s="217"/>
      <c r="E42" s="217" t="s">
        <v>1134</v>
      </c>
      <c r="F42" s="217" t="s">
        <v>686</v>
      </c>
      <c r="G42" s="217" t="s">
        <v>13577</v>
      </c>
      <c r="H42" s="451" t="s">
        <v>15664</v>
      </c>
      <c r="I42" s="452" t="s">
        <v>1603</v>
      </c>
      <c r="J42" s="452" t="s">
        <v>13202</v>
      </c>
      <c r="K42" s="453" t="s">
        <v>15665</v>
      </c>
      <c r="L42" s="453" t="s">
        <v>15666</v>
      </c>
      <c r="M42" s="453" t="s">
        <v>15667</v>
      </c>
      <c r="N42" s="453" t="s">
        <v>15518</v>
      </c>
      <c r="O42" s="453" t="s">
        <v>15519</v>
      </c>
      <c r="P42" s="454" t="s">
        <v>498</v>
      </c>
      <c r="Q42" s="455" t="s">
        <v>15520</v>
      </c>
      <c r="R42" s="217" t="str">
        <f ca="1">IF(ISERROR($V42),"",OFFSET('Smelter Look-up'!$C$4,$V42-4,0)&amp;"")</f>
        <v>DSC (Do Sung Corporation)</v>
      </c>
      <c r="S42" s="225" t="str">
        <f t="shared" ca="1" si="6"/>
        <v>KR</v>
      </c>
      <c r="T42" s="225" t="str">
        <f ca="1">IF(B42="","",IF(ISERROR(MATCH($J42,SorP!$B$1:$B$6230,0)),"",INDIRECT("'SorP'!$A$"&amp;MATCH($J42,SorP!$B$1:$B$6230,0))))</f>
        <v>KR-41</v>
      </c>
      <c r="U42" s="241"/>
      <c r="V42" s="275">
        <f>IF(C42="",NA(),MATCH($B42&amp;$C42,'Smelter Look-up'!$J:$J,0))</f>
        <v>68</v>
      </c>
      <c r="W42" s="276"/>
      <c r="X42" s="276">
        <f t="shared" si="7"/>
        <v>0</v>
      </c>
      <c r="Y42" s="276"/>
      <c r="Z42" s="276"/>
      <c r="AB42" s="278" t="str">
        <f t="shared" si="8"/>
        <v>GoldDSC (Do Sung Corporation)</v>
      </c>
    </row>
    <row r="43" spans="1:28" s="277" customFormat="1" ht="24.75">
      <c r="A43" s="216" t="s">
        <v>688</v>
      </c>
      <c r="B43" s="217" t="s">
        <v>1153</v>
      </c>
      <c r="C43" s="450" t="s">
        <v>13251</v>
      </c>
      <c r="D43" s="217"/>
      <c r="E43" s="217" t="s">
        <v>1124</v>
      </c>
      <c r="F43" s="217" t="s">
        <v>688</v>
      </c>
      <c r="G43" s="217" t="s">
        <v>13577</v>
      </c>
      <c r="H43" s="451" t="s">
        <v>15668</v>
      </c>
      <c r="I43" s="452" t="s">
        <v>1572</v>
      </c>
      <c r="J43" s="452" t="s">
        <v>1573</v>
      </c>
      <c r="K43" s="453" t="s">
        <v>15669</v>
      </c>
      <c r="L43" s="453" t="s">
        <v>15670</v>
      </c>
      <c r="M43" s="453" t="s">
        <v>15554</v>
      </c>
      <c r="N43" s="453" t="s">
        <v>15542</v>
      </c>
      <c r="O43" s="453" t="s">
        <v>15555</v>
      </c>
      <c r="P43" s="454" t="s">
        <v>499</v>
      </c>
      <c r="Q43" s="455" t="s">
        <v>15520</v>
      </c>
      <c r="R43" s="217" t="str">
        <f ca="1">IF(ISERROR($V43),"",OFFSET('Smelter Look-up'!$C$4,$V43-4,0)&amp;"")</f>
        <v>DODUCO Contacts and Refining GmbH</v>
      </c>
      <c r="S43" s="225" t="str">
        <f t="shared" ca="1" si="6"/>
        <v>DE</v>
      </c>
      <c r="T43" s="225" t="str">
        <f ca="1">IF(B43="","",IF(ISERROR(MATCH($J43,SorP!$B$1:$B$6230,0)),"",INDIRECT("'SorP'!$A$"&amp;MATCH($J43,SorP!$B$1:$B$6230,0))))</f>
        <v>DE-BW</v>
      </c>
      <c r="U43" s="241"/>
      <c r="V43" s="275">
        <f>IF(C43="",NA(),MATCH($B43&amp;$C43,'Smelter Look-up'!$J:$J,0))</f>
        <v>61</v>
      </c>
      <c r="W43" s="276"/>
      <c r="X43" s="276">
        <f t="shared" si="7"/>
        <v>0</v>
      </c>
      <c r="Y43" s="276"/>
      <c r="Z43" s="276"/>
      <c r="AB43" s="278" t="str">
        <f t="shared" si="8"/>
        <v>GoldDODUCO Contacts and Refining GmbH</v>
      </c>
    </row>
    <row r="44" spans="1:28" s="277" customFormat="1" ht="37.15">
      <c r="A44" s="216" t="s">
        <v>689</v>
      </c>
      <c r="B44" s="217" t="s">
        <v>1153</v>
      </c>
      <c r="C44" s="450" t="s">
        <v>929</v>
      </c>
      <c r="D44" s="217"/>
      <c r="E44" s="217" t="s">
        <v>1131</v>
      </c>
      <c r="F44" s="217" t="s">
        <v>689</v>
      </c>
      <c r="G44" s="217" t="s">
        <v>13577</v>
      </c>
      <c r="H44" s="451" t="s">
        <v>15671</v>
      </c>
      <c r="I44" s="452" t="s">
        <v>1604</v>
      </c>
      <c r="J44" s="452" t="s">
        <v>1605</v>
      </c>
      <c r="K44" s="453" t="s">
        <v>15672</v>
      </c>
      <c r="L44" s="453" t="s">
        <v>15673</v>
      </c>
      <c r="M44" s="453" t="s">
        <v>15554</v>
      </c>
      <c r="N44" s="453" t="s">
        <v>15674</v>
      </c>
      <c r="O44" s="453" t="s">
        <v>15675</v>
      </c>
      <c r="P44" s="454" t="s">
        <v>499</v>
      </c>
      <c r="Q44" s="455" t="s">
        <v>15513</v>
      </c>
      <c r="R44" s="217" t="str">
        <f ca="1">IF(ISERROR($V44),"",OFFSET('Smelter Look-up'!$C$4,$V44-4,0)&amp;"")</f>
        <v>Dowa</v>
      </c>
      <c r="S44" s="225" t="str">
        <f t="shared" ca="1" si="6"/>
        <v>JP</v>
      </c>
      <c r="T44" s="225" t="str">
        <f ca="1">IF(B44="","",IF(ISERROR(MATCH($J44,SorP!$B$1:$B$6230,0)),"",INDIRECT("'SorP'!$A$"&amp;MATCH($J44,SorP!$B$1:$B$6230,0))))</f>
        <v>JP-05</v>
      </c>
      <c r="U44" s="241"/>
      <c r="V44" s="275">
        <f>IF(C44="",NA(),MATCH($B44&amp;$C44,'Smelter Look-up'!$J:$J,0))</f>
        <v>63</v>
      </c>
      <c r="W44" s="276"/>
      <c r="X44" s="276">
        <f t="shared" si="7"/>
        <v>0</v>
      </c>
      <c r="Y44" s="276"/>
      <c r="Z44" s="276"/>
      <c r="AB44" s="278" t="str">
        <f t="shared" si="8"/>
        <v>GoldDowa</v>
      </c>
    </row>
    <row r="45" spans="1:28" s="277" customFormat="1" ht="37.15">
      <c r="A45" s="216" t="s">
        <v>1433</v>
      </c>
      <c r="B45" s="217" t="s">
        <v>1154</v>
      </c>
      <c r="C45" s="450" t="s">
        <v>929</v>
      </c>
      <c r="D45" s="217"/>
      <c r="E45" s="217" t="s">
        <v>1131</v>
      </c>
      <c r="F45" s="217" t="s">
        <v>1433</v>
      </c>
      <c r="G45" s="217" t="s">
        <v>13577</v>
      </c>
      <c r="H45" s="451" t="s">
        <v>15671</v>
      </c>
      <c r="I45" s="452" t="s">
        <v>1604</v>
      </c>
      <c r="J45" s="452" t="s">
        <v>1605</v>
      </c>
      <c r="K45" s="453" t="s">
        <v>15672</v>
      </c>
      <c r="L45" s="453" t="s">
        <v>15673</v>
      </c>
      <c r="M45" s="453" t="s">
        <v>15554</v>
      </c>
      <c r="N45" s="453" t="s">
        <v>15542</v>
      </c>
      <c r="O45" s="453" t="s">
        <v>15555</v>
      </c>
      <c r="P45" s="454" t="s">
        <v>499</v>
      </c>
      <c r="Q45" s="455" t="s">
        <v>15513</v>
      </c>
      <c r="R45" s="217" t="str">
        <f ca="1">IF(ISERROR($V45),"",OFFSET('Smelter Look-up'!$C$4,$V45-4,0)&amp;"")</f>
        <v>Dowa</v>
      </c>
      <c r="S45" s="225" t="str">
        <f t="shared" ca="1" si="6"/>
        <v>JP</v>
      </c>
      <c r="T45" s="225" t="str">
        <f ca="1">IF(B45="","",IF(ISERROR(MATCH($J45,SorP!$B$1:$B$6230,0)),"",INDIRECT("'SorP'!$A$"&amp;MATCH($J45,SorP!$B$1:$B$6230,0))))</f>
        <v>JP-05</v>
      </c>
      <c r="U45" s="241"/>
      <c r="V45" s="275">
        <f>IF(C45="",NA(),MATCH($B45&amp;$C45,'Smelter Look-up'!$J:$J,0))</f>
        <v>374</v>
      </c>
      <c r="W45" s="276"/>
      <c r="X45" s="276">
        <f t="shared" si="7"/>
        <v>0</v>
      </c>
      <c r="Y45" s="276"/>
      <c r="Z45" s="276"/>
      <c r="AB45" s="278" t="str">
        <f t="shared" si="8"/>
        <v>TinDowa</v>
      </c>
    </row>
    <row r="46" spans="1:28" s="277" customFormat="1" ht="20.25">
      <c r="A46" s="456" t="s">
        <v>15676</v>
      </c>
      <c r="B46" s="217" t="s">
        <v>1155</v>
      </c>
      <c r="C46" s="450" t="s">
        <v>15677</v>
      </c>
      <c r="D46" s="217"/>
      <c r="E46" s="217" t="s">
        <v>1123</v>
      </c>
      <c r="F46" s="217" t="s">
        <v>15676</v>
      </c>
      <c r="G46" s="457" t="s">
        <v>15611</v>
      </c>
      <c r="H46" s="451">
        <v>0</v>
      </c>
      <c r="I46" s="452" t="s">
        <v>15678</v>
      </c>
      <c r="J46" s="452" t="s">
        <v>15584</v>
      </c>
      <c r="K46" s="453"/>
      <c r="L46" s="453"/>
      <c r="M46" s="453"/>
      <c r="N46" s="453"/>
      <c r="O46" s="453"/>
      <c r="P46" s="454"/>
      <c r="Q46" s="455"/>
      <c r="R46" s="217" t="str">
        <f ca="1">IF(ISERROR($V46),"",OFFSET('Smelter Look-up'!$C$4,$V46-4,0)&amp;"")</f>
        <v/>
      </c>
      <c r="S46" s="225" t="str">
        <f t="shared" ca="1" si="6"/>
        <v>CN</v>
      </c>
      <c r="T46" s="225" t="str">
        <f ca="1">IF(B46="","",IF(ISERROR(MATCH($J46,SorP!$B$1:$B$6230,0)),"",INDIRECT("'SorP'!$A$"&amp;MATCH($J46,SorP!$B$1:$B$6230,0))))</f>
        <v/>
      </c>
      <c r="U46" s="241"/>
      <c r="V46" s="275" t="e">
        <f>IF(C46="",NA(),MATCH($B46&amp;$C46,'Smelter Look-up'!$J:$J,0))</f>
        <v>#N/A</v>
      </c>
      <c r="W46" s="276"/>
      <c r="X46" s="276">
        <f t="shared" si="7"/>
        <v>0</v>
      </c>
      <c r="Y46" s="276"/>
      <c r="Z46" s="276"/>
      <c r="AB46" s="278" t="str">
        <f t="shared" si="8"/>
        <v>TantalumDuoluoshan</v>
      </c>
    </row>
    <row r="47" spans="1:28" s="277" customFormat="1" ht="74.25">
      <c r="A47" s="216" t="s">
        <v>407</v>
      </c>
      <c r="B47" s="217" t="s">
        <v>1153</v>
      </c>
      <c r="C47" s="450" t="s">
        <v>15679</v>
      </c>
      <c r="D47" s="217"/>
      <c r="E47" s="217" t="s">
        <v>1131</v>
      </c>
      <c r="F47" s="217" t="s">
        <v>407</v>
      </c>
      <c r="G47" s="217" t="s">
        <v>13577</v>
      </c>
      <c r="H47" s="451" t="s">
        <v>15680</v>
      </c>
      <c r="I47" s="452" t="s">
        <v>1609</v>
      </c>
      <c r="J47" s="452" t="s">
        <v>1610</v>
      </c>
      <c r="K47" s="453" t="s">
        <v>15681</v>
      </c>
      <c r="L47" s="453" t="s">
        <v>15682</v>
      </c>
      <c r="M47" s="453" t="s">
        <v>15554</v>
      </c>
      <c r="N47" s="453" t="s">
        <v>15542</v>
      </c>
      <c r="O47" s="453" t="s">
        <v>15519</v>
      </c>
      <c r="P47" s="454" t="s">
        <v>498</v>
      </c>
      <c r="Q47" s="455" t="s">
        <v>15513</v>
      </c>
      <c r="R47" s="217" t="str">
        <f ca="1">IF(ISERROR($V47),"",OFFSET('Smelter Look-up'!$C$4,$V47-4,0)&amp;"")</f>
        <v/>
      </c>
      <c r="S47" s="225" t="str">
        <f t="shared" ca="1" si="6"/>
        <v>JP</v>
      </c>
      <c r="T47" s="225" t="str">
        <f ca="1">IF(B47="","",IF(ISERROR(MATCH($J47,SorP!$B$1:$B$6230,0)),"",INDIRECT("'SorP'!$A$"&amp;MATCH($J47,SorP!$B$1:$B$6230,0))))</f>
        <v>JP-11</v>
      </c>
      <c r="U47" s="241"/>
      <c r="V47" s="275" t="e">
        <f>IF(C47="",NA(),MATCH($B47&amp;$C47,'Smelter Look-up'!$J:$J,0))</f>
        <v>#N/A</v>
      </c>
      <c r="W47" s="276"/>
      <c r="X47" s="276">
        <f t="shared" si="7"/>
        <v>0</v>
      </c>
      <c r="Y47" s="276"/>
      <c r="Z47" s="276"/>
      <c r="AB47" s="278" t="str">
        <f t="shared" si="8"/>
        <v>GoldEco-System Recycling Co., Ltd.</v>
      </c>
    </row>
    <row r="48" spans="1:28" s="277" customFormat="1" ht="37.15">
      <c r="A48" s="216" t="s">
        <v>784</v>
      </c>
      <c r="B48" s="217" t="s">
        <v>1154</v>
      </c>
      <c r="C48" s="450" t="s">
        <v>865</v>
      </c>
      <c r="D48" s="217"/>
      <c r="E48" s="217" t="s">
        <v>2574</v>
      </c>
      <c r="F48" s="217" t="s">
        <v>784</v>
      </c>
      <c r="G48" s="217" t="s">
        <v>13577</v>
      </c>
      <c r="H48" s="451" t="s">
        <v>15683</v>
      </c>
      <c r="I48" s="452" t="s">
        <v>1807</v>
      </c>
      <c r="J48" s="452" t="s">
        <v>1807</v>
      </c>
      <c r="K48" s="453" t="s">
        <v>15684</v>
      </c>
      <c r="L48" s="453" t="s">
        <v>15685</v>
      </c>
      <c r="M48" s="453" t="s">
        <v>15686</v>
      </c>
      <c r="N48" s="453" t="s">
        <v>15511</v>
      </c>
      <c r="O48" s="453" t="s">
        <v>15588</v>
      </c>
      <c r="P48" s="454" t="s">
        <v>499</v>
      </c>
      <c r="Q48" s="455" t="s">
        <v>15513</v>
      </c>
      <c r="R48" s="217" t="str">
        <f ca="1">IF(ISERROR($V48),"",OFFSET('Smelter Look-up'!$C$4,$V48-4,0)&amp;"")</f>
        <v>EM Vinto</v>
      </c>
      <c r="S48" s="225" t="str">
        <f t="shared" ca="1" si="6"/>
        <v>BO</v>
      </c>
      <c r="T48" s="225" t="str">
        <f ca="1">IF(B48="","",IF(ISERROR(MATCH($J48,SorP!$B$1:$B$6230,0)),"",INDIRECT("'SorP'!$A$"&amp;MATCH($J48,SorP!$B$1:$B$6230,0))))</f>
        <v>BO-O</v>
      </c>
      <c r="U48" s="241"/>
      <c r="V48" s="275">
        <f>IF(C48="",NA(),MATCH($B48&amp;$C48,'Smelter Look-up'!$J:$J,0))</f>
        <v>377</v>
      </c>
      <c r="W48" s="276"/>
      <c r="X48" s="276">
        <f t="shared" si="7"/>
        <v>0</v>
      </c>
      <c r="Y48" s="276"/>
      <c r="Z48" s="276"/>
      <c r="AB48" s="278" t="str">
        <f t="shared" si="8"/>
        <v>TinEM Vinto</v>
      </c>
    </row>
    <row r="49" spans="1:28" s="277" customFormat="1" ht="20.25">
      <c r="A49" s="216" t="s">
        <v>785</v>
      </c>
      <c r="B49" s="217" t="s">
        <v>1154</v>
      </c>
      <c r="C49" s="450" t="s">
        <v>12753</v>
      </c>
      <c r="D49" s="217"/>
      <c r="E49" s="217" t="s">
        <v>1119</v>
      </c>
      <c r="F49" s="217" t="s">
        <v>785</v>
      </c>
      <c r="G49" s="217" t="s">
        <v>13577</v>
      </c>
      <c r="H49" s="451" t="s">
        <v>14249</v>
      </c>
      <c r="I49" s="452" t="s">
        <v>1804</v>
      </c>
      <c r="J49" s="452" t="s">
        <v>1808</v>
      </c>
      <c r="K49" s="453" t="s">
        <v>14249</v>
      </c>
      <c r="L49" s="453" t="s">
        <v>14249</v>
      </c>
      <c r="M49" s="453" t="s">
        <v>14249</v>
      </c>
      <c r="N49" s="453" t="s">
        <v>14249</v>
      </c>
      <c r="O49" s="453" t="s">
        <v>14249</v>
      </c>
      <c r="P49" s="454" t="s">
        <v>14249</v>
      </c>
      <c r="Q49" s="455" t="s">
        <v>14249</v>
      </c>
      <c r="R49" s="217" t="str">
        <f ca="1">IF(ISERROR($V49),"",OFFSET('Smelter Look-up'!$C$4,$V49-4,0)&amp;"")</f>
        <v>Estanho de Rondonia S.A.</v>
      </c>
      <c r="S49" s="225" t="str">
        <f t="shared" ca="1" si="6"/>
        <v>BR</v>
      </c>
      <c r="T49" s="225" t="str">
        <f ca="1">IF(B49="","",IF(ISERROR(MATCH($J49,SorP!$B$1:$B$6230,0)),"",INDIRECT("'SorP'!$A$"&amp;MATCH($J49,SorP!$B$1:$B$6230,0))))</f>
        <v>BR-RO</v>
      </c>
      <c r="U49" s="241"/>
      <c r="V49" s="275">
        <f>IF(C49="",NA(),MATCH($B49&amp;$C49,'Smelter Look-up'!$J:$J,0))</f>
        <v>381</v>
      </c>
      <c r="W49" s="276"/>
      <c r="X49" s="276">
        <f t="shared" si="7"/>
        <v>0</v>
      </c>
      <c r="Y49" s="276"/>
      <c r="Z49" s="276"/>
      <c r="AB49" s="278" t="str">
        <f t="shared" si="8"/>
        <v>TinEstanho de Rondonia S.A.</v>
      </c>
    </row>
    <row r="50" spans="1:28" s="277" customFormat="1" ht="37.15">
      <c r="A50" s="216" t="s">
        <v>765</v>
      </c>
      <c r="B50" s="217" t="s">
        <v>1155</v>
      </c>
      <c r="C50" s="450" t="s">
        <v>1141</v>
      </c>
      <c r="D50" s="217"/>
      <c r="E50" s="217" t="s">
        <v>2576</v>
      </c>
      <c r="F50" s="217" t="s">
        <v>765</v>
      </c>
      <c r="G50" s="217" t="s">
        <v>13577</v>
      </c>
      <c r="H50" s="451" t="s">
        <v>15687</v>
      </c>
      <c r="I50" s="452" t="s">
        <v>1752</v>
      </c>
      <c r="J50" s="452" t="s">
        <v>1731</v>
      </c>
      <c r="K50" s="453" t="s">
        <v>15688</v>
      </c>
      <c r="L50" s="453" t="s">
        <v>15689</v>
      </c>
      <c r="M50" s="453" t="s">
        <v>15690</v>
      </c>
      <c r="N50" s="453" t="s">
        <v>15542</v>
      </c>
      <c r="O50" s="453" t="s">
        <v>15555</v>
      </c>
      <c r="P50" s="454" t="s">
        <v>499</v>
      </c>
      <c r="Q50" s="455" t="s">
        <v>15513</v>
      </c>
      <c r="R50" s="217" t="str">
        <f ca="1">IF(ISERROR($V50),"",OFFSET('Smelter Look-up'!$C$4,$V50-4,0)&amp;"")</f>
        <v>Exotech Inc.</v>
      </c>
      <c r="S50" s="225" t="str">
        <f t="shared" ca="1" si="6"/>
        <v>US</v>
      </c>
      <c r="T50" s="225" t="str">
        <f ca="1">IF(B50="","",IF(ISERROR(MATCH($J50,SorP!$B$1:$B$6230,0)),"",INDIRECT("'SorP'!$A$"&amp;MATCH($J50,SorP!$B$1:$B$6230,0))))</f>
        <v>US-FL</v>
      </c>
      <c r="U50" s="241"/>
      <c r="V50" s="275">
        <f>IF(C50="",NA(),MATCH($B50&amp;$C50,'Smelter Look-up'!$J:$J,0))</f>
        <v>300</v>
      </c>
      <c r="W50" s="276"/>
      <c r="X50" s="276">
        <f t="shared" si="7"/>
        <v>0</v>
      </c>
      <c r="Y50" s="276"/>
      <c r="Z50" s="276"/>
      <c r="AB50" s="278" t="str">
        <f t="shared" si="8"/>
        <v>TantalumExotech Inc.</v>
      </c>
    </row>
    <row r="51" spans="1:28" s="277" customFormat="1" ht="24.75">
      <c r="A51" s="216" t="s">
        <v>766</v>
      </c>
      <c r="B51" s="217" t="s">
        <v>1155</v>
      </c>
      <c r="C51" s="450" t="s">
        <v>47</v>
      </c>
      <c r="D51" s="217"/>
      <c r="E51" s="217" t="s">
        <v>1123</v>
      </c>
      <c r="F51" s="217" t="s">
        <v>766</v>
      </c>
      <c r="G51" s="217" t="s">
        <v>13577</v>
      </c>
      <c r="H51" s="451" t="s">
        <v>15691</v>
      </c>
      <c r="I51" s="452" t="s">
        <v>1753</v>
      </c>
      <c r="J51" s="452" t="s">
        <v>15584</v>
      </c>
      <c r="K51" s="453" t="s">
        <v>15692</v>
      </c>
      <c r="L51" s="453" t="s">
        <v>15693</v>
      </c>
      <c r="M51" s="453" t="s">
        <v>15694</v>
      </c>
      <c r="N51" s="453" t="s">
        <v>15542</v>
      </c>
      <c r="O51" s="453" t="s">
        <v>15695</v>
      </c>
      <c r="P51" s="454" t="s">
        <v>499</v>
      </c>
      <c r="Q51" s="455" t="s">
        <v>15513</v>
      </c>
      <c r="R51" s="217" t="str">
        <f ca="1">IF(ISERROR($V51),"",OFFSET('Smelter Look-up'!$C$4,$V51-4,0)&amp;"")</f>
        <v>F&amp;X Electro-Materials Ltd.</v>
      </c>
      <c r="S51" s="225" t="str">
        <f t="shared" ca="1" si="6"/>
        <v>CN</v>
      </c>
      <c r="T51" s="225" t="str">
        <f ca="1">IF(B51="","",IF(ISERROR(MATCH($J51,SorP!$B$1:$B$6230,0)),"",INDIRECT("'SorP'!$A$"&amp;MATCH($J51,SorP!$B$1:$B$6230,0))))</f>
        <v/>
      </c>
      <c r="U51" s="241"/>
      <c r="V51" s="275">
        <f>IF(C51="",NA(),MATCH($B51&amp;$C51,'Smelter Look-up'!$J:$J,0))</f>
        <v>302</v>
      </c>
      <c r="W51" s="276"/>
      <c r="X51" s="276">
        <f t="shared" si="7"/>
        <v>0</v>
      </c>
      <c r="Y51" s="276"/>
      <c r="Z51" s="276"/>
      <c r="AB51" s="278" t="str">
        <f t="shared" si="8"/>
        <v>TantalumF&amp;X Electro-Materials Ltd.</v>
      </c>
    </row>
    <row r="52" spans="1:28" s="277" customFormat="1" ht="24.75">
      <c r="A52" s="216" t="s">
        <v>786</v>
      </c>
      <c r="B52" s="217" t="s">
        <v>1154</v>
      </c>
      <c r="C52" s="450" t="s">
        <v>836</v>
      </c>
      <c r="D52" s="217"/>
      <c r="E52" s="217" t="s">
        <v>905</v>
      </c>
      <c r="F52" s="217" t="s">
        <v>786</v>
      </c>
      <c r="G52" s="217" t="s">
        <v>13577</v>
      </c>
      <c r="H52" s="451" t="s">
        <v>15696</v>
      </c>
      <c r="I52" s="452" t="s">
        <v>1810</v>
      </c>
      <c r="J52" s="452" t="s">
        <v>9826</v>
      </c>
      <c r="K52" s="453" t="s">
        <v>15697</v>
      </c>
      <c r="L52" s="453" t="s">
        <v>15698</v>
      </c>
      <c r="M52" s="453" t="s">
        <v>15699</v>
      </c>
      <c r="N52" s="453" t="s">
        <v>15511</v>
      </c>
      <c r="O52" s="453" t="s">
        <v>15555</v>
      </c>
      <c r="P52" s="454" t="s">
        <v>499</v>
      </c>
      <c r="Q52" s="455" t="s">
        <v>15513</v>
      </c>
      <c r="R52" s="217" t="str">
        <f ca="1">IF(ISERROR($V52),"",OFFSET('Smelter Look-up'!$C$4,$V52-4,0)&amp;"")</f>
        <v>Fenix Metals</v>
      </c>
      <c r="S52" s="225" t="str">
        <f t="shared" ca="1" si="6"/>
        <v>PL</v>
      </c>
      <c r="T52" s="225" t="str">
        <f ca="1">IF(B52="","",IF(ISERROR(MATCH($J52,SorP!$B$1:$B$6230,0)),"",INDIRECT("'SorP'!$A$"&amp;MATCH($J52,SorP!$B$1:$B$6230,0))))</f>
        <v>PL-18</v>
      </c>
      <c r="U52" s="241"/>
      <c r="V52" s="275">
        <f>IF(C52="",NA(),MATCH($B52&amp;$C52,'Smelter Look-up'!$J:$J,0))</f>
        <v>383</v>
      </c>
      <c r="W52" s="276"/>
      <c r="X52" s="276">
        <f t="shared" si="7"/>
        <v>0</v>
      </c>
      <c r="Y52" s="276"/>
      <c r="Z52" s="276"/>
      <c r="AB52" s="278" t="str">
        <f t="shared" si="8"/>
        <v>TinFenix Metals</v>
      </c>
    </row>
    <row r="53" spans="1:28" s="277" customFormat="1" ht="37.15">
      <c r="A53" s="216" t="s">
        <v>690</v>
      </c>
      <c r="B53" s="217" t="s">
        <v>1153</v>
      </c>
      <c r="C53" s="450" t="s">
        <v>2308</v>
      </c>
      <c r="D53" s="217"/>
      <c r="E53" s="217" t="s">
        <v>906</v>
      </c>
      <c r="F53" s="217" t="s">
        <v>690</v>
      </c>
      <c r="G53" s="217" t="s">
        <v>13577</v>
      </c>
      <c r="H53" s="451" t="s">
        <v>15700</v>
      </c>
      <c r="I53" s="452" t="s">
        <v>1611</v>
      </c>
      <c r="J53" s="452" t="s">
        <v>10330</v>
      </c>
      <c r="K53" s="453" t="s">
        <v>15701</v>
      </c>
      <c r="L53" s="453" t="s">
        <v>15702</v>
      </c>
      <c r="M53" s="453" t="s">
        <v>15703</v>
      </c>
      <c r="N53" s="453" t="s">
        <v>15533</v>
      </c>
      <c r="O53" s="453" t="s">
        <v>15533</v>
      </c>
      <c r="P53" s="454"/>
      <c r="Q53" s="455" t="s">
        <v>15520</v>
      </c>
      <c r="R53" s="217" t="str">
        <f ca="1">IF(ISERROR($V53),"",OFFSET('Smelter Look-up'!$C$4,$V53-4,0)&amp;"")</f>
        <v>OJSC Novosibirsk Refinery</v>
      </c>
      <c r="S53" s="225" t="str">
        <f t="shared" ca="1" si="6"/>
        <v>RU</v>
      </c>
      <c r="T53" s="225" t="str">
        <f ca="1">IF(B53="","",IF(ISERROR(MATCH($J53,SorP!$B$1:$B$6230,0)),"",INDIRECT("'SorP'!$A$"&amp;MATCH($J53,SorP!$B$1:$B$6230,0))))</f>
        <v>RU-NVS</v>
      </c>
      <c r="U53" s="241"/>
      <c r="V53" s="275">
        <f>IF(C53="",NA(),MATCH($B53&amp;$C53,'Smelter Look-up'!$J:$J,0))</f>
        <v>183</v>
      </c>
      <c r="W53" s="276"/>
      <c r="X53" s="276">
        <f t="shared" si="7"/>
        <v>0</v>
      </c>
      <c r="Y53" s="276"/>
      <c r="Z53" s="276"/>
      <c r="AB53" s="278" t="str">
        <f t="shared" si="8"/>
        <v>GoldOJSC Novosibirsk Refinery</v>
      </c>
    </row>
    <row r="54" spans="1:28" s="277" customFormat="1" ht="24.75">
      <c r="A54" s="216" t="s">
        <v>814</v>
      </c>
      <c r="B54" s="217" t="s">
        <v>1156</v>
      </c>
      <c r="C54" s="450" t="s">
        <v>837</v>
      </c>
      <c r="D54" s="217"/>
      <c r="E54" s="217" t="s">
        <v>1123</v>
      </c>
      <c r="F54" s="217" t="s">
        <v>814</v>
      </c>
      <c r="G54" s="217" t="s">
        <v>13577</v>
      </c>
      <c r="H54" s="451" t="s">
        <v>15704</v>
      </c>
      <c r="I54" s="452" t="s">
        <v>1867</v>
      </c>
      <c r="J54" s="452" t="s">
        <v>15705</v>
      </c>
      <c r="K54" s="453" t="s">
        <v>15706</v>
      </c>
      <c r="L54" s="453" t="s">
        <v>15707</v>
      </c>
      <c r="M54" s="453" t="s">
        <v>15554</v>
      </c>
      <c r="N54" s="453" t="s">
        <v>15542</v>
      </c>
      <c r="O54" s="453" t="s">
        <v>15555</v>
      </c>
      <c r="P54" s="454" t="s">
        <v>499</v>
      </c>
      <c r="Q54" s="455" t="s">
        <v>15513</v>
      </c>
      <c r="R54" s="217" t="str">
        <f ca="1">IF(ISERROR($V54),"",OFFSET('Smelter Look-up'!$C$4,$V54-4,0)&amp;"")</f>
        <v>Fujian Jinxin Tungsten Co., Ltd.</v>
      </c>
      <c r="S54" s="225" t="str">
        <f t="shared" ca="1" si="6"/>
        <v>CN</v>
      </c>
      <c r="T54" s="225" t="str">
        <f ca="1">IF(B54="","",IF(ISERROR(MATCH($J54,SorP!$B$1:$B$6230,0)),"",INDIRECT("'SorP'!$A$"&amp;MATCH($J54,SorP!$B$1:$B$6230,0))))</f>
        <v/>
      </c>
      <c r="U54" s="241"/>
      <c r="V54" s="275">
        <f>IF(C54="",NA(),MATCH($B54&amp;$C54,'Smelter Look-up'!$J:$J,0))</f>
        <v>506</v>
      </c>
      <c r="W54" s="276"/>
      <c r="X54" s="276">
        <f t="shared" si="7"/>
        <v>0</v>
      </c>
      <c r="Y54" s="276"/>
      <c r="Z54" s="276"/>
      <c r="AB54" s="278" t="str">
        <f t="shared" si="8"/>
        <v>TungstenFujian Jinxin Tungsten Co., Ltd.</v>
      </c>
    </row>
    <row r="55" spans="1:28" s="277" customFormat="1" ht="20.25">
      <c r="A55" s="216" t="s">
        <v>691</v>
      </c>
      <c r="B55" s="217" t="s">
        <v>1153</v>
      </c>
      <c r="C55" s="450" t="s">
        <v>13257</v>
      </c>
      <c r="D55" s="217"/>
      <c r="E55" s="217" t="s">
        <v>1123</v>
      </c>
      <c r="F55" s="217" t="s">
        <v>691</v>
      </c>
      <c r="G55" s="217" t="s">
        <v>13577</v>
      </c>
      <c r="H55" s="451">
        <v>0</v>
      </c>
      <c r="I55" s="452" t="s">
        <v>1612</v>
      </c>
      <c r="J55" s="452" t="s">
        <v>15708</v>
      </c>
      <c r="K55" s="453"/>
      <c r="L55" s="453"/>
      <c r="M55" s="453"/>
      <c r="N55" s="453"/>
      <c r="O55" s="453"/>
      <c r="P55" s="454"/>
      <c r="Q55" s="455"/>
      <c r="R55" s="217" t="str">
        <f ca="1">IF(ISERROR($V55),"",OFFSET('Smelter Look-up'!$C$4,$V55-4,0)&amp;"")</f>
        <v>Refinery of Seemine Gold Co., Ltd.</v>
      </c>
      <c r="S55" s="225" t="str">
        <f t="shared" ca="1" si="6"/>
        <v>CN</v>
      </c>
      <c r="T55" s="225" t="str">
        <f ca="1">IF(B55="","",IF(ISERROR(MATCH($J55,SorP!$B$1:$B$6230,0)),"",INDIRECT("'SorP'!$A$"&amp;MATCH($J55,SorP!$B$1:$B$6230,0))))</f>
        <v/>
      </c>
      <c r="U55" s="241"/>
      <c r="V55" s="275">
        <f>IF(C55="",NA(),MATCH($B55&amp;$C55,'Smelter Look-up'!$J:$J,0))</f>
        <v>199</v>
      </c>
      <c r="W55" s="276"/>
      <c r="X55" s="276">
        <f t="shared" si="7"/>
        <v>0</v>
      </c>
      <c r="Y55" s="276"/>
      <c r="Z55" s="276"/>
      <c r="AB55" s="278" t="str">
        <f t="shared" si="8"/>
        <v>GoldRefinery of Seemine Gold Co., Ltd.</v>
      </c>
    </row>
    <row r="56" spans="1:28" s="277" customFormat="1" ht="20.25">
      <c r="A56" s="216" t="s">
        <v>787</v>
      </c>
      <c r="B56" s="217" t="s">
        <v>1154</v>
      </c>
      <c r="C56" s="450" t="s">
        <v>2248</v>
      </c>
      <c r="D56" s="217"/>
      <c r="E56" s="217" t="s">
        <v>1123</v>
      </c>
      <c r="F56" s="217" t="s">
        <v>787</v>
      </c>
      <c r="G56" s="217" t="s">
        <v>13577</v>
      </c>
      <c r="H56" s="451" t="s">
        <v>15709</v>
      </c>
      <c r="I56" s="452" t="s">
        <v>2590</v>
      </c>
      <c r="J56" s="452" t="s">
        <v>15578</v>
      </c>
      <c r="K56" s="453" t="s">
        <v>15710</v>
      </c>
      <c r="L56" s="453" t="s">
        <v>15711</v>
      </c>
      <c r="M56" s="453" t="s">
        <v>15712</v>
      </c>
      <c r="N56" s="453" t="s">
        <v>15713</v>
      </c>
      <c r="O56" s="453" t="s">
        <v>15609</v>
      </c>
      <c r="P56" s="454" t="s">
        <v>499</v>
      </c>
      <c r="Q56" s="455" t="s">
        <v>15513</v>
      </c>
      <c r="R56" s="217" t="str">
        <f ca="1">IF(ISERROR($V56),"",OFFSET('Smelter Look-up'!$C$4,$V56-4,0)&amp;"")</f>
        <v>Gejiu Non-Ferrous Metal Processing Co., Ltd.</v>
      </c>
      <c r="S56" s="225" t="str">
        <f t="shared" ca="1" si="6"/>
        <v>CN</v>
      </c>
      <c r="T56" s="225" t="str">
        <f ca="1">IF(B56="","",IF(ISERROR(MATCH($J56,SorP!$B$1:$B$6230,0)),"",INDIRECT("'SorP'!$A$"&amp;MATCH($J56,SorP!$B$1:$B$6230,0))))</f>
        <v/>
      </c>
      <c r="U56" s="241"/>
      <c r="V56" s="275">
        <f>IF(C56="",NA(),MATCH($B56&amp;$C56,'Smelter Look-up'!$J:$J,0))</f>
        <v>389</v>
      </c>
      <c r="W56" s="276"/>
      <c r="X56" s="276">
        <f t="shared" si="7"/>
        <v>0</v>
      </c>
      <c r="Y56" s="276"/>
      <c r="Z56" s="276"/>
      <c r="AB56" s="278" t="str">
        <f t="shared" si="8"/>
        <v>TinGejiu Non-Ferrous Metal Processing Co., Ltd.</v>
      </c>
    </row>
    <row r="57" spans="1:28" s="277" customFormat="1" ht="20.25">
      <c r="A57" s="216" t="s">
        <v>788</v>
      </c>
      <c r="B57" s="217" t="s">
        <v>1154</v>
      </c>
      <c r="C57" s="450" t="s">
        <v>1811</v>
      </c>
      <c r="D57" s="217"/>
      <c r="E57" s="217" t="s">
        <v>1123</v>
      </c>
      <c r="F57" s="217" t="s">
        <v>788</v>
      </c>
      <c r="G57" s="217" t="s">
        <v>13577</v>
      </c>
      <c r="H57" s="451" t="s">
        <v>14249</v>
      </c>
      <c r="I57" s="452" t="s">
        <v>2590</v>
      </c>
      <c r="J57" s="452" t="s">
        <v>15578</v>
      </c>
      <c r="K57" s="453" t="s">
        <v>14249</v>
      </c>
      <c r="L57" s="453" t="s">
        <v>14249</v>
      </c>
      <c r="M57" s="453" t="s">
        <v>14249</v>
      </c>
      <c r="N57" s="453" t="s">
        <v>14249</v>
      </c>
      <c r="O57" s="453" t="s">
        <v>14249</v>
      </c>
      <c r="P57" s="454" t="s">
        <v>14249</v>
      </c>
      <c r="Q57" s="455" t="s">
        <v>14249</v>
      </c>
      <c r="R57" s="217" t="str">
        <f ca="1">IF(ISERROR($V57),"",OFFSET('Smelter Look-up'!$C$4,$V57-4,0)&amp;"")</f>
        <v>Gejiu Zili Mining And Metallurgy Co., Ltd.</v>
      </c>
      <c r="S57" s="225" t="str">
        <f t="shared" ca="1" si="6"/>
        <v>CN</v>
      </c>
      <c r="T57" s="225" t="str">
        <f ca="1">IF(B57="","",IF(ISERROR(MATCH($J57,SorP!$B$1:$B$6230,0)),"",INDIRECT("'SorP'!$A$"&amp;MATCH($J57,SorP!$B$1:$B$6230,0))))</f>
        <v/>
      </c>
      <c r="U57" s="241"/>
      <c r="V57" s="275">
        <f>IF(C57="",NA(),MATCH($B57&amp;$C57,'Smelter Look-up'!$J:$J,0))</f>
        <v>392</v>
      </c>
      <c r="W57" s="276"/>
      <c r="X57" s="276">
        <f t="shared" si="7"/>
        <v>0</v>
      </c>
      <c r="Y57" s="276"/>
      <c r="Z57" s="276"/>
      <c r="AB57" s="278" t="str">
        <f t="shared" si="8"/>
        <v>TinGejiu Zili Mining And Metallurgy Co., Ltd.</v>
      </c>
    </row>
    <row r="58" spans="1:28" s="277" customFormat="1" ht="49.5">
      <c r="A58" s="216" t="s">
        <v>815</v>
      </c>
      <c r="B58" s="217" t="s">
        <v>1156</v>
      </c>
      <c r="C58" s="450" t="s">
        <v>1</v>
      </c>
      <c r="D58" s="217"/>
      <c r="E58" s="217" t="s">
        <v>2576</v>
      </c>
      <c r="F58" s="217" t="s">
        <v>815</v>
      </c>
      <c r="G58" s="217" t="s">
        <v>13577</v>
      </c>
      <c r="H58" s="451" t="s">
        <v>15714</v>
      </c>
      <c r="I58" s="452" t="s">
        <v>1868</v>
      </c>
      <c r="J58" s="452" t="s">
        <v>1774</v>
      </c>
      <c r="K58" s="453" t="s">
        <v>15715</v>
      </c>
      <c r="L58" s="453" t="s">
        <v>15716</v>
      </c>
      <c r="M58" s="453" t="s">
        <v>15686</v>
      </c>
      <c r="N58" s="453" t="s">
        <v>15717</v>
      </c>
      <c r="O58" s="453" t="s">
        <v>15555</v>
      </c>
      <c r="P58" s="454" t="s">
        <v>499</v>
      </c>
      <c r="Q58" s="455" t="s">
        <v>15513</v>
      </c>
      <c r="R58" s="217" t="str">
        <f ca="1">IF(ISERROR($V58),"",OFFSET('Smelter Look-up'!$C$4,$V58-4,0)&amp;"")</f>
        <v>Global Tungsten &amp; Powders Corp.</v>
      </c>
      <c r="S58" s="225" t="str">
        <f t="shared" ca="1" si="6"/>
        <v>US</v>
      </c>
      <c r="T58" s="225" t="str">
        <f ca="1">IF(B58="","",IF(ISERROR(MATCH($J58,SorP!$B$1:$B$6230,0)),"",INDIRECT("'SorP'!$A$"&amp;MATCH($J58,SorP!$B$1:$B$6230,0))))</f>
        <v>US-PA</v>
      </c>
      <c r="U58" s="241"/>
      <c r="V58" s="275">
        <f>IF(C58="",NA(),MATCH($B58&amp;$C58,'Smelter Look-up'!$J:$J,0))</f>
        <v>512</v>
      </c>
      <c r="W58" s="276"/>
      <c r="X58" s="276">
        <f t="shared" si="7"/>
        <v>0</v>
      </c>
      <c r="Y58" s="276"/>
      <c r="Z58" s="276"/>
      <c r="AB58" s="278" t="str">
        <f t="shared" si="8"/>
        <v>TungstenGlobal Tungsten &amp; Powders Corp.</v>
      </c>
    </row>
    <row r="59" spans="1:28" s="277" customFormat="1" ht="49.5">
      <c r="A59" s="216" t="s">
        <v>768</v>
      </c>
      <c r="B59" s="217" t="s">
        <v>1155</v>
      </c>
      <c r="C59" s="450" t="s">
        <v>767</v>
      </c>
      <c r="D59" s="217"/>
      <c r="E59" s="217" t="s">
        <v>1123</v>
      </c>
      <c r="F59" s="217" t="s">
        <v>768</v>
      </c>
      <c r="G59" s="217" t="s">
        <v>13577</v>
      </c>
      <c r="H59" s="451" t="s">
        <v>15718</v>
      </c>
      <c r="I59" s="452" t="s">
        <v>1755</v>
      </c>
      <c r="J59" s="452" t="s">
        <v>15584</v>
      </c>
      <c r="K59" s="453" t="s">
        <v>15719</v>
      </c>
      <c r="L59" s="453" t="s">
        <v>15720</v>
      </c>
      <c r="M59" s="453" t="s">
        <v>15721</v>
      </c>
      <c r="N59" s="453" t="s">
        <v>15542</v>
      </c>
      <c r="O59" s="453" t="s">
        <v>15722</v>
      </c>
      <c r="P59" s="454" t="s">
        <v>499</v>
      </c>
      <c r="Q59" s="455" t="s">
        <v>15520</v>
      </c>
      <c r="R59" s="217" t="str">
        <f ca="1">IF(ISERROR($V59),"",OFFSET('Smelter Look-up'!$C$4,$V59-4,0)&amp;"")</f>
        <v>Guangdong Zhiyuan New Material Co., Ltd.</v>
      </c>
      <c r="S59" s="225" t="str">
        <f t="shared" ca="1" si="6"/>
        <v>CN</v>
      </c>
      <c r="T59" s="225" t="str">
        <f ca="1">IF(B59="","",IF(ISERROR(MATCH($J59,SorP!$B$1:$B$6230,0)),"",INDIRECT("'SorP'!$A$"&amp;MATCH($J59,SorP!$B$1:$B$6230,0))))</f>
        <v/>
      </c>
      <c r="U59" s="241"/>
      <c r="V59" s="275">
        <f>IF(C59="",NA(),MATCH($B59&amp;$C59,'Smelter Look-up'!$J:$J,0))</f>
        <v>306</v>
      </c>
      <c r="W59" s="276"/>
      <c r="X59" s="276">
        <f t="shared" si="7"/>
        <v>0</v>
      </c>
      <c r="Y59" s="276"/>
      <c r="Z59" s="276"/>
      <c r="AB59" s="278" t="str">
        <f t="shared" si="8"/>
        <v>TantalumGuangdong Zhiyuan New Material Co., Ltd.</v>
      </c>
    </row>
    <row r="60" spans="1:28" s="277" customFormat="1" ht="24.75">
      <c r="A60" s="216" t="s">
        <v>1614</v>
      </c>
      <c r="B60" s="217" t="s">
        <v>1153</v>
      </c>
      <c r="C60" s="450" t="s">
        <v>1613</v>
      </c>
      <c r="D60" s="217"/>
      <c r="E60" s="217" t="s">
        <v>1123</v>
      </c>
      <c r="F60" s="217" t="s">
        <v>1614</v>
      </c>
      <c r="G60" s="217" t="s">
        <v>13577</v>
      </c>
      <c r="H60" s="451" t="s">
        <v>14249</v>
      </c>
      <c r="I60" s="452" t="s">
        <v>1615</v>
      </c>
      <c r="J60" s="452" t="s">
        <v>15723</v>
      </c>
      <c r="K60" s="453" t="s">
        <v>14249</v>
      </c>
      <c r="L60" s="453" t="s">
        <v>14249</v>
      </c>
      <c r="M60" s="453" t="s">
        <v>14249</v>
      </c>
      <c r="N60" s="453" t="s">
        <v>14249</v>
      </c>
      <c r="O60" s="453" t="s">
        <v>14249</v>
      </c>
      <c r="P60" s="454" t="s">
        <v>14249</v>
      </c>
      <c r="Q60" s="455" t="s">
        <v>14249</v>
      </c>
      <c r="R60" s="217" t="str">
        <f ca="1">IF(ISERROR($V60),"",OFFSET('Smelter Look-up'!$C$4,$V60-4,0)&amp;"")</f>
        <v>Guoda Safina High-Tech Environmental Refinery Co., Ltd.</v>
      </c>
      <c r="S60" s="225" t="str">
        <f t="shared" ca="1" si="6"/>
        <v>CN</v>
      </c>
      <c r="T60" s="225" t="str">
        <f ca="1">IF(B60="","",IF(ISERROR(MATCH($J60,SorP!$B$1:$B$6230,0)),"",INDIRECT("'SorP'!$A$"&amp;MATCH($J60,SorP!$B$1:$B$6230,0))))</f>
        <v/>
      </c>
      <c r="U60" s="241"/>
      <c r="V60" s="275">
        <f>IF(C60="",NA(),MATCH($B60&amp;$C60,'Smelter Look-up'!$J:$J,0))</f>
        <v>89</v>
      </c>
      <c r="W60" s="276"/>
      <c r="X60" s="276">
        <f t="shared" si="7"/>
        <v>0</v>
      </c>
      <c r="Y60" s="276"/>
      <c r="Z60" s="276"/>
      <c r="AB60" s="278" t="str">
        <f t="shared" si="8"/>
        <v>GoldGuoda Safina High-Tech Environmental Refinery Co., Ltd.</v>
      </c>
    </row>
    <row r="61" spans="1:28" s="277" customFormat="1" ht="20.25">
      <c r="A61" s="216" t="s">
        <v>405</v>
      </c>
      <c r="B61" s="217" t="s">
        <v>1153</v>
      </c>
      <c r="C61" s="450" t="s">
        <v>404</v>
      </c>
      <c r="D61" s="217"/>
      <c r="E61" s="217" t="s">
        <v>1123</v>
      </c>
      <c r="F61" s="217" t="s">
        <v>405</v>
      </c>
      <c r="G61" s="217" t="s">
        <v>13577</v>
      </c>
      <c r="H61" s="451" t="s">
        <v>14249</v>
      </c>
      <c r="I61" s="452" t="s">
        <v>1617</v>
      </c>
      <c r="J61" s="452" t="s">
        <v>15724</v>
      </c>
      <c r="K61" s="453" t="s">
        <v>14249</v>
      </c>
      <c r="L61" s="453" t="s">
        <v>14249</v>
      </c>
      <c r="M61" s="453" t="s">
        <v>14249</v>
      </c>
      <c r="N61" s="453" t="s">
        <v>14249</v>
      </c>
      <c r="O61" s="453" t="s">
        <v>14249</v>
      </c>
      <c r="P61" s="454" t="s">
        <v>14249</v>
      </c>
      <c r="Q61" s="455" t="s">
        <v>14249</v>
      </c>
      <c r="R61" s="217" t="str">
        <f ca="1">IF(ISERROR($V61),"",OFFSET('Smelter Look-up'!$C$4,$V61-4,0)&amp;"")</f>
        <v>Hangzhou Fuchunjiang Smelting Co., Ltd.</v>
      </c>
      <c r="S61" s="225" t="str">
        <f t="shared" ca="1" si="6"/>
        <v>CN</v>
      </c>
      <c r="T61" s="225" t="str">
        <f ca="1">IF(B61="","",IF(ISERROR(MATCH($J61,SorP!$B$1:$B$6230,0)),"",INDIRECT("'SorP'!$A$"&amp;MATCH($J61,SorP!$B$1:$B$6230,0))))</f>
        <v/>
      </c>
      <c r="U61" s="241"/>
      <c r="V61" s="275">
        <f>IF(C61="",NA(),MATCH($B61&amp;$C61,'Smelter Look-up'!$J:$J,0))</f>
        <v>90</v>
      </c>
      <c r="W61" s="276"/>
      <c r="X61" s="276">
        <f t="shared" si="7"/>
        <v>0</v>
      </c>
      <c r="Y61" s="276"/>
      <c r="Z61" s="276"/>
      <c r="AB61" s="278" t="str">
        <f t="shared" si="8"/>
        <v>GoldHangzhou Fuchunjiang Smelting Co., Ltd.</v>
      </c>
    </row>
    <row r="62" spans="1:28" s="277" customFormat="1" ht="24.75">
      <c r="A62" s="216" t="s">
        <v>2645</v>
      </c>
      <c r="B62" s="217" t="s">
        <v>1153</v>
      </c>
      <c r="C62" s="450" t="s">
        <v>2644</v>
      </c>
      <c r="D62" s="217"/>
      <c r="E62" s="217" t="s">
        <v>1134</v>
      </c>
      <c r="F62" s="217" t="s">
        <v>2645</v>
      </c>
      <c r="G62" s="217" t="s">
        <v>13577</v>
      </c>
      <c r="H62" s="451" t="s">
        <v>15725</v>
      </c>
      <c r="I62" s="452" t="s">
        <v>2646</v>
      </c>
      <c r="J62" s="452" t="s">
        <v>13197</v>
      </c>
      <c r="K62" s="453" t="s">
        <v>15726</v>
      </c>
      <c r="L62" s="453" t="s">
        <v>15727</v>
      </c>
      <c r="M62" s="453" t="s">
        <v>15728</v>
      </c>
      <c r="N62" s="453" t="s">
        <v>15542</v>
      </c>
      <c r="O62" s="453" t="s">
        <v>15555</v>
      </c>
      <c r="P62" s="454" t="s">
        <v>499</v>
      </c>
      <c r="Q62" s="455" t="s">
        <v>15520</v>
      </c>
      <c r="R62" s="217" t="str">
        <f ca="1">IF(ISERROR($V62),"",OFFSET('Smelter Look-up'!$C$4,$V62-4,0)&amp;"")</f>
        <v>LT Metal Ltd.</v>
      </c>
      <c r="S62" s="225" t="str">
        <f t="shared" ca="1" si="6"/>
        <v>KR</v>
      </c>
      <c r="T62" s="225" t="str">
        <f ca="1">IF(B62="","",IF(ISERROR(MATCH($J62,SorP!$B$1:$B$6230,0)),"",INDIRECT("'SorP'!$A$"&amp;MATCH($J62,SorP!$B$1:$B$6230,0))))</f>
        <v>KR-28</v>
      </c>
      <c r="U62" s="241"/>
      <c r="V62" s="275">
        <f>IF(C62="",NA(),MATCH($B62&amp;$C62,'Smelter Look-up'!$J:$J,0))</f>
        <v>91</v>
      </c>
      <c r="W62" s="276"/>
      <c r="X62" s="276">
        <f t="shared" si="7"/>
        <v>0</v>
      </c>
      <c r="Y62" s="276"/>
      <c r="Z62" s="276"/>
      <c r="AB62" s="278" t="str">
        <f t="shared" si="8"/>
        <v>GoldHeeSung Metal Ltd.</v>
      </c>
    </row>
    <row r="63" spans="1:28" s="277" customFormat="1" ht="24.75">
      <c r="A63" s="216" t="s">
        <v>694</v>
      </c>
      <c r="B63" s="217" t="s">
        <v>1153</v>
      </c>
      <c r="C63" s="450" t="s">
        <v>1062</v>
      </c>
      <c r="D63" s="217"/>
      <c r="E63" s="217" t="s">
        <v>1124</v>
      </c>
      <c r="F63" s="217" t="s">
        <v>694</v>
      </c>
      <c r="G63" s="217" t="s">
        <v>13577</v>
      </c>
      <c r="H63" s="451" t="s">
        <v>15729</v>
      </c>
      <c r="I63" s="452" t="s">
        <v>1572</v>
      </c>
      <c r="J63" s="452" t="s">
        <v>1573</v>
      </c>
      <c r="K63" s="453" t="s">
        <v>15730</v>
      </c>
      <c r="L63" s="453" t="s">
        <v>15731</v>
      </c>
      <c r="M63" s="453" t="s">
        <v>15565</v>
      </c>
      <c r="N63" s="453" t="s">
        <v>15542</v>
      </c>
      <c r="O63" s="453" t="s">
        <v>15543</v>
      </c>
      <c r="P63" s="454" t="s">
        <v>499</v>
      </c>
      <c r="Q63" s="455" t="s">
        <v>15513</v>
      </c>
      <c r="R63" s="217" t="str">
        <f ca="1">IF(ISERROR($V63),"",OFFSET('Smelter Look-up'!$C$4,$V63-4,0)&amp;"")</f>
        <v>Heimerle + Meule GmbH</v>
      </c>
      <c r="S63" s="225" t="str">
        <f t="shared" ca="1" si="6"/>
        <v>DE</v>
      </c>
      <c r="T63" s="225" t="str">
        <f ca="1">IF(B63="","",IF(ISERROR(MATCH($J63,SorP!$B$1:$B$6230,0)),"",INDIRECT("'SorP'!$A$"&amp;MATCH($J63,SorP!$B$1:$B$6230,0))))</f>
        <v>DE-BW</v>
      </c>
      <c r="U63" s="241"/>
      <c r="V63" s="275">
        <f>IF(C63="",NA(),MATCH($B63&amp;$C63,'Smelter Look-up'!$J:$J,0))</f>
        <v>92</v>
      </c>
      <c r="W63" s="276"/>
      <c r="X63" s="276">
        <f t="shared" si="7"/>
        <v>0</v>
      </c>
      <c r="Y63" s="276"/>
      <c r="Z63" s="276"/>
      <c r="AB63" s="278" t="str">
        <f t="shared" si="8"/>
        <v>GoldHeimerle + Meule GmbH</v>
      </c>
    </row>
    <row r="64" spans="1:28" s="277" customFormat="1" ht="37.15">
      <c r="A64" s="216" t="s">
        <v>695</v>
      </c>
      <c r="B64" s="217" t="s">
        <v>1153</v>
      </c>
      <c r="C64" s="450" t="s">
        <v>2647</v>
      </c>
      <c r="D64" s="217"/>
      <c r="E64" s="217" t="s">
        <v>1123</v>
      </c>
      <c r="F64" s="217" t="s">
        <v>695</v>
      </c>
      <c r="G64" s="217" t="s">
        <v>13577</v>
      </c>
      <c r="H64" s="451" t="s">
        <v>15732</v>
      </c>
      <c r="I64" s="452" t="s">
        <v>1618</v>
      </c>
      <c r="J64" s="452" t="s">
        <v>15733</v>
      </c>
      <c r="K64" s="453" t="s">
        <v>15734</v>
      </c>
      <c r="L64" s="453" t="s">
        <v>15735</v>
      </c>
      <c r="M64" s="453" t="s">
        <v>15736</v>
      </c>
      <c r="N64" s="453" t="s">
        <v>15542</v>
      </c>
      <c r="O64" s="453" t="s">
        <v>15737</v>
      </c>
      <c r="P64" s="454" t="s">
        <v>499</v>
      </c>
      <c r="Q64" s="455" t="s">
        <v>15513</v>
      </c>
      <c r="R64" s="217" t="str">
        <f ca="1">IF(ISERROR($V64),"",OFFSET('Smelter Look-up'!$C$4,$V64-4,0)&amp;"")</f>
        <v>Heraeus Metals Hong Kong Ltd.</v>
      </c>
      <c r="S64" s="225" t="str">
        <f t="shared" ca="1" si="6"/>
        <v>CN</v>
      </c>
      <c r="T64" s="225" t="str">
        <f ca="1">IF(B64="","",IF(ISERROR(MATCH($J64,SorP!$B$1:$B$6230,0)),"",INDIRECT("'SorP'!$A$"&amp;MATCH($J64,SorP!$B$1:$B$6230,0))))</f>
        <v/>
      </c>
      <c r="U64" s="241"/>
      <c r="V64" s="275">
        <f>IF(C64="",NA(),MATCH($B64&amp;$C64,'Smelter Look-up'!$J:$J,0))</f>
        <v>97</v>
      </c>
      <c r="W64" s="276"/>
      <c r="X64" s="276">
        <f t="shared" si="7"/>
        <v>0</v>
      </c>
      <c r="Y64" s="276"/>
      <c r="Z64" s="276"/>
      <c r="AB64" s="278" t="str">
        <f t="shared" si="8"/>
        <v>GoldHeraeus Metals Hong Kong Ltd.</v>
      </c>
    </row>
    <row r="65" spans="1:28" s="277" customFormat="1" ht="24.75">
      <c r="A65" s="216" t="s">
        <v>696</v>
      </c>
      <c r="B65" s="217" t="s">
        <v>1153</v>
      </c>
      <c r="C65" s="450" t="s">
        <v>1250</v>
      </c>
      <c r="D65" s="217"/>
      <c r="E65" s="217" t="s">
        <v>1124</v>
      </c>
      <c r="F65" s="217" t="s">
        <v>696</v>
      </c>
      <c r="G65" s="217" t="s">
        <v>13577</v>
      </c>
      <c r="H65" s="451" t="s">
        <v>15738</v>
      </c>
      <c r="I65" s="452" t="s">
        <v>1619</v>
      </c>
      <c r="J65" s="452" t="s">
        <v>4397</v>
      </c>
      <c r="K65" s="453" t="s">
        <v>15734</v>
      </c>
      <c r="L65" s="453" t="s">
        <v>15735</v>
      </c>
      <c r="M65" s="453" t="s">
        <v>15739</v>
      </c>
      <c r="N65" s="453" t="s">
        <v>15740</v>
      </c>
      <c r="O65" s="453" t="s">
        <v>15519</v>
      </c>
      <c r="P65" s="454" t="s">
        <v>498</v>
      </c>
      <c r="Q65" s="455" t="s">
        <v>15513</v>
      </c>
      <c r="R65" s="217" t="str">
        <f ca="1">IF(ISERROR($V65),"",OFFSET('Smelter Look-up'!$C$4,$V65-4,0)&amp;"")</f>
        <v>Heraeus Precious Metals GmbH &amp; Co. KG</v>
      </c>
      <c r="S65" s="225" t="str">
        <f t="shared" ca="1" si="6"/>
        <v>DE</v>
      </c>
      <c r="T65" s="225" t="str">
        <f ca="1">IF(B65="","",IF(ISERROR(MATCH($J65,SorP!$B$1:$B$6230,0)),"",INDIRECT("'SorP'!$A$"&amp;MATCH($J65,SorP!$B$1:$B$6230,0))))</f>
        <v>DE-HE</v>
      </c>
      <c r="U65" s="241"/>
      <c r="V65" s="275">
        <f>IF(C65="",NA(),MATCH($B65&amp;$C65,'Smelter Look-up'!$J:$J,0))</f>
        <v>98</v>
      </c>
      <c r="W65" s="276"/>
      <c r="X65" s="276">
        <f t="shared" si="7"/>
        <v>0</v>
      </c>
      <c r="Y65" s="276"/>
      <c r="Z65" s="276"/>
      <c r="AB65" s="278" t="str">
        <f t="shared" si="8"/>
        <v>GoldHeraeus Precious Metals GmbH &amp; Co. KG</v>
      </c>
    </row>
    <row r="66" spans="1:28" s="277" customFormat="1" ht="24.75">
      <c r="A66" s="458" t="s">
        <v>15741</v>
      </c>
      <c r="B66" s="459" t="s">
        <v>1155</v>
      </c>
      <c r="C66" s="450" t="s">
        <v>15742</v>
      </c>
      <c r="D66" s="217"/>
      <c r="E66" s="217" t="s">
        <v>2576</v>
      </c>
      <c r="F66" s="217" t="s">
        <v>15741</v>
      </c>
      <c r="G66" s="217" t="s">
        <v>15611</v>
      </c>
      <c r="H66" s="451">
        <v>0</v>
      </c>
      <c r="I66" s="452" t="s">
        <v>15743</v>
      </c>
      <c r="J66" s="452" t="s">
        <v>1647</v>
      </c>
      <c r="K66" s="453"/>
      <c r="L66" s="453"/>
      <c r="M66" s="453"/>
      <c r="N66" s="463" t="s">
        <v>15744</v>
      </c>
      <c r="O66" s="463" t="s">
        <v>15744</v>
      </c>
      <c r="P66" s="461" t="s">
        <v>499</v>
      </c>
      <c r="Q66" s="462" t="s">
        <v>15627</v>
      </c>
      <c r="R66" s="217" t="str">
        <f ca="1">IF(ISERROR($V66),"",OFFSET('Smelter Look-up'!$C$4,$V66-4,0)&amp;"")</f>
        <v/>
      </c>
      <c r="S66" s="225" t="str">
        <f t="shared" ca="1" si="6"/>
        <v>US</v>
      </c>
      <c r="T66" s="225" t="str">
        <f ca="1">IF(B66="","",IF(ISERROR(MATCH($J66,SorP!$B$1:$B$6230,0)),"",INDIRECT("'SorP'!$A$"&amp;MATCH($J66,SorP!$B$1:$B$6230,0))))</f>
        <v>US-NY</v>
      </c>
      <c r="U66" s="241"/>
      <c r="V66" s="275" t="e">
        <f>IF(C66="",NA(),MATCH($B66&amp;$C66,'Smelter Look-up'!$J:$J,0))</f>
        <v>#N/A</v>
      </c>
      <c r="W66" s="276"/>
      <c r="X66" s="276">
        <f t="shared" si="7"/>
        <v>0</v>
      </c>
      <c r="Y66" s="276"/>
      <c r="Z66" s="276"/>
      <c r="AB66" s="278" t="str">
        <f t="shared" si="8"/>
        <v>TantalumHi-Temp Specialty Metals, Inc.</v>
      </c>
    </row>
    <row r="67" spans="1:28" s="277" customFormat="1" ht="49.5">
      <c r="A67" s="216" t="s">
        <v>789</v>
      </c>
      <c r="B67" s="217" t="s">
        <v>1154</v>
      </c>
      <c r="C67" s="450" t="s">
        <v>2249</v>
      </c>
      <c r="D67" s="217"/>
      <c r="E67" s="217" t="s">
        <v>1123</v>
      </c>
      <c r="F67" s="217" t="s">
        <v>789</v>
      </c>
      <c r="G67" s="217" t="s">
        <v>13577</v>
      </c>
      <c r="H67" s="451" t="s">
        <v>15745</v>
      </c>
      <c r="I67" s="452" t="s">
        <v>1812</v>
      </c>
      <c r="J67" s="452" t="s">
        <v>15601</v>
      </c>
      <c r="K67" s="453" t="s">
        <v>15746</v>
      </c>
      <c r="L67" s="453" t="s">
        <v>15747</v>
      </c>
      <c r="M67" s="453" t="s">
        <v>15748</v>
      </c>
      <c r="N67" s="453" t="s">
        <v>15511</v>
      </c>
      <c r="O67" s="453" t="s">
        <v>15588</v>
      </c>
      <c r="P67" s="454" t="s">
        <v>499</v>
      </c>
      <c r="Q67" s="455" t="s">
        <v>15513</v>
      </c>
      <c r="R67" s="217" t="str">
        <f ca="1">IF(ISERROR($V67),"",OFFSET('Smelter Look-up'!$C$4,$V67-4,0)&amp;"")</f>
        <v>Huichang Jinshunda Tin Co., Ltd.</v>
      </c>
      <c r="S67" s="225" t="str">
        <f t="shared" ca="1" si="6"/>
        <v>CN</v>
      </c>
      <c r="T67" s="225" t="str">
        <f ca="1">IF(B67="","",IF(ISERROR(MATCH($J67,SorP!$B$1:$B$6230,0)),"",INDIRECT("'SorP'!$A$"&amp;MATCH($J67,SorP!$B$1:$B$6230,0))))</f>
        <v/>
      </c>
      <c r="U67" s="241"/>
      <c r="V67" s="275">
        <f>IF(C67="",NA(),MATCH($B67&amp;$C67,'Smelter Look-up'!$J:$J,0))</f>
        <v>400</v>
      </c>
      <c r="W67" s="276"/>
      <c r="X67" s="276">
        <f t="shared" si="7"/>
        <v>0</v>
      </c>
      <c r="Y67" s="276"/>
      <c r="Z67" s="276"/>
      <c r="AB67" s="278" t="str">
        <f t="shared" si="8"/>
        <v>TinHuichang Jinshunda Tin Co., Ltd.</v>
      </c>
    </row>
    <row r="68" spans="1:28" s="277" customFormat="1" ht="24.75">
      <c r="A68" s="216" t="s">
        <v>816</v>
      </c>
      <c r="B68" s="217" t="s">
        <v>1156</v>
      </c>
      <c r="C68" s="450" t="s">
        <v>2324</v>
      </c>
      <c r="D68" s="217"/>
      <c r="E68" s="217" t="s">
        <v>1123</v>
      </c>
      <c r="F68" s="217" t="s">
        <v>816</v>
      </c>
      <c r="G68" s="217" t="s">
        <v>13577</v>
      </c>
      <c r="H68" s="451" t="s">
        <v>15749</v>
      </c>
      <c r="I68" s="452" t="s">
        <v>2238</v>
      </c>
      <c r="J68" s="452" t="s">
        <v>15580</v>
      </c>
      <c r="K68" s="453" t="s">
        <v>15750</v>
      </c>
      <c r="L68" s="453" t="s">
        <v>15751</v>
      </c>
      <c r="M68" s="453" t="s">
        <v>15510</v>
      </c>
      <c r="N68" s="453" t="s">
        <v>15511</v>
      </c>
      <c r="O68" s="453" t="s">
        <v>15588</v>
      </c>
      <c r="P68" s="454" t="s">
        <v>499</v>
      </c>
      <c r="Q68" s="455" t="s">
        <v>15520</v>
      </c>
      <c r="R68" s="217" t="str">
        <f ca="1">IF(ISERROR($V68),"",OFFSET('Smelter Look-up'!$C$4,$V68-4,0)&amp;"")</f>
        <v>Hunan Chenzhou Mining Co., Ltd.</v>
      </c>
      <c r="S68" s="225" t="str">
        <f t="shared" ca="1" si="6"/>
        <v>CN</v>
      </c>
      <c r="T68" s="225" t="str">
        <f ca="1">IF(B68="","",IF(ISERROR(MATCH($J68,SorP!$B$1:$B$6230,0)),"",INDIRECT("'SorP'!$A$"&amp;MATCH($J68,SorP!$B$1:$B$6230,0))))</f>
        <v/>
      </c>
      <c r="U68" s="241"/>
      <c r="V68" s="275">
        <f>IF(C68="",NA(),MATCH($B68&amp;$C68,'Smelter Look-up'!$J:$J,0))</f>
        <v>519</v>
      </c>
      <c r="W68" s="276"/>
      <c r="X68" s="276">
        <f t="shared" si="7"/>
        <v>0</v>
      </c>
      <c r="Y68" s="276"/>
      <c r="Z68" s="276"/>
      <c r="AB68" s="278" t="str">
        <f t="shared" si="8"/>
        <v>TungstenHunan Chenzhou Mining Co., Ltd.</v>
      </c>
    </row>
    <row r="69" spans="1:28" s="277" customFormat="1" ht="20.25">
      <c r="A69" s="216" t="s">
        <v>697</v>
      </c>
      <c r="B69" s="217" t="s">
        <v>1153</v>
      </c>
      <c r="C69" s="450" t="s">
        <v>2324</v>
      </c>
      <c r="D69" s="217"/>
      <c r="E69" s="217" t="s">
        <v>1123</v>
      </c>
      <c r="F69" s="217" t="s">
        <v>697</v>
      </c>
      <c r="G69" s="217" t="s">
        <v>13577</v>
      </c>
      <c r="H69" s="451" t="s">
        <v>14249</v>
      </c>
      <c r="I69" s="452" t="s">
        <v>2238</v>
      </c>
      <c r="J69" s="452" t="s">
        <v>15580</v>
      </c>
      <c r="K69" s="453" t="s">
        <v>14249</v>
      </c>
      <c r="L69" s="453" t="s">
        <v>14249</v>
      </c>
      <c r="M69" s="453" t="s">
        <v>14249</v>
      </c>
      <c r="N69" s="453" t="s">
        <v>14249</v>
      </c>
      <c r="O69" s="453" t="s">
        <v>14249</v>
      </c>
      <c r="P69" s="454" t="s">
        <v>14249</v>
      </c>
      <c r="Q69" s="455" t="s">
        <v>14249</v>
      </c>
      <c r="R69" s="217" t="str">
        <f ca="1">IF(ISERROR($V69),"",OFFSET('Smelter Look-up'!$C$4,$V69-4,0)&amp;"")</f>
        <v>Hunan Chenzhou Mining Co., Ltd.</v>
      </c>
      <c r="S69" s="225" t="str">
        <f t="shared" ref="S69" ca="1" si="9">IF(B69="","",IF(ISERROR(MATCH($E69,CL,0)),"Unknown",INDIRECT("'C'!$A$"&amp;MATCH($E69,CL,0)+1)))</f>
        <v>CN</v>
      </c>
      <c r="T69" s="225" t="str">
        <f ca="1">IF(B69="","",IF(ISERROR(MATCH($J69,SorP!$B$1:$B$6230,0)),"",INDIRECT("'SorP'!$A$"&amp;MATCH($J69,SorP!$B$1:$B$6230,0))))</f>
        <v/>
      </c>
      <c r="U69" s="241"/>
      <c r="V69" s="275">
        <f>IF(C69="",NA(),MATCH($B69&amp;$C69,'Smelter Look-up'!$J:$J,0))</f>
        <v>99</v>
      </c>
      <c r="W69" s="276"/>
      <c r="X69" s="276">
        <f t="shared" ref="X69" si="10">IF(AND(C69="Smelter not listed",OR(LEN(D69)=0,LEN(E69)=0)),1,0)</f>
        <v>0</v>
      </c>
      <c r="Y69" s="276"/>
      <c r="Z69" s="276"/>
      <c r="AB69" s="278" t="str">
        <f t="shared" ref="AB69" si="11">B69&amp;C69</f>
        <v>GoldHunan Chenzhou Mining Co., Ltd.</v>
      </c>
    </row>
    <row r="70" spans="1:28" s="277" customFormat="1" ht="20.25">
      <c r="A70" s="216" t="s">
        <v>817</v>
      </c>
      <c r="B70" s="217" t="s">
        <v>1156</v>
      </c>
      <c r="C70" s="450" t="s">
        <v>1404</v>
      </c>
      <c r="D70" s="217"/>
      <c r="E70" s="217" t="s">
        <v>1123</v>
      </c>
      <c r="F70" s="217" t="s">
        <v>817</v>
      </c>
      <c r="G70" s="217" t="s">
        <v>13577</v>
      </c>
      <c r="H70" s="451" t="s">
        <v>14249</v>
      </c>
      <c r="I70" s="452" t="s">
        <v>1777</v>
      </c>
      <c r="J70" s="452" t="s">
        <v>15580</v>
      </c>
      <c r="K70" s="453" t="s">
        <v>14249</v>
      </c>
      <c r="L70" s="453" t="s">
        <v>14249</v>
      </c>
      <c r="M70" s="453" t="s">
        <v>15752</v>
      </c>
      <c r="N70" s="453" t="s">
        <v>14249</v>
      </c>
      <c r="O70" s="453" t="s">
        <v>14249</v>
      </c>
      <c r="P70" s="454" t="s">
        <v>499</v>
      </c>
      <c r="Q70" s="455" t="s">
        <v>14249</v>
      </c>
      <c r="R70" s="217" t="str">
        <f ca="1">IF(ISERROR($V70),"",OFFSET('Smelter Look-up'!$C$4,$V70-4,0)&amp;"")</f>
        <v>Hunan Chunchang Nonferrous Metals Co., Ltd.</v>
      </c>
      <c r="S70" s="225" t="str">
        <f t="shared" ref="S70:S101" ca="1" si="12">IF(B70="","",IF(ISERROR(MATCH($E70,CL,0)),"Unknown",INDIRECT("'C'!$A$"&amp;MATCH($E70,CL,0)+1)))</f>
        <v>CN</v>
      </c>
      <c r="T70" s="225" t="str">
        <f ca="1">IF(B70="","",IF(ISERROR(MATCH($J70,SorP!$B$1:$B$6230,0)),"",INDIRECT("'SorP'!$A$"&amp;MATCH($J70,SorP!$B$1:$B$6230,0))))</f>
        <v/>
      </c>
      <c r="U70" s="241"/>
      <c r="V70" s="275">
        <f>IF(C70="",NA(),MATCH($B70&amp;$C70,'Smelter Look-up'!$J:$J,0))</f>
        <v>522</v>
      </c>
      <c r="W70" s="276"/>
      <c r="X70" s="276">
        <f t="shared" ref="X70:X101" si="13">IF(AND(C70="Smelter not listed",OR(LEN(D70)=0,LEN(E70)=0)),1,0)</f>
        <v>0</v>
      </c>
      <c r="Y70" s="276"/>
      <c r="Z70" s="276"/>
      <c r="AB70" s="278" t="str">
        <f t="shared" ref="AB70:AB101" si="14">B70&amp;C70</f>
        <v>TungstenHunan Chunchang Nonferrous Metals Co., Ltd.</v>
      </c>
    </row>
    <row r="71" spans="1:28" s="277" customFormat="1" ht="20.25">
      <c r="A71" s="216" t="s">
        <v>698</v>
      </c>
      <c r="B71" s="217" t="s">
        <v>1153</v>
      </c>
      <c r="C71" s="450" t="s">
        <v>2648</v>
      </c>
      <c r="D71" s="217"/>
      <c r="E71" s="217" t="s">
        <v>1134</v>
      </c>
      <c r="F71" s="217" t="s">
        <v>698</v>
      </c>
      <c r="G71" s="217" t="s">
        <v>13577</v>
      </c>
      <c r="H71" s="451" t="s">
        <v>14249</v>
      </c>
      <c r="I71" s="452" t="s">
        <v>1622</v>
      </c>
      <c r="J71" s="452" t="s">
        <v>13202</v>
      </c>
      <c r="K71" s="453" t="s">
        <v>14249</v>
      </c>
      <c r="L71" s="453" t="s">
        <v>14249</v>
      </c>
      <c r="M71" s="453" t="s">
        <v>14249</v>
      </c>
      <c r="N71" s="453" t="s">
        <v>14249</v>
      </c>
      <c r="O71" s="453" t="s">
        <v>14249</v>
      </c>
      <c r="P71" s="454" t="s">
        <v>14249</v>
      </c>
      <c r="Q71" s="455" t="s">
        <v>14249</v>
      </c>
      <c r="R71" s="217" t="str">
        <f ca="1">IF(ISERROR($V71),"",OFFSET('Smelter Look-up'!$C$4,$V71-4,0)&amp;"")</f>
        <v>HwaSeong CJ CO., LTD.</v>
      </c>
      <c r="S71" s="225" t="str">
        <f t="shared" ca="1" si="12"/>
        <v>KR</v>
      </c>
      <c r="T71" s="225" t="str">
        <f ca="1">IF(B71="","",IF(ISERROR(MATCH($J71,SorP!$B$1:$B$6230,0)),"",INDIRECT("'SorP'!$A$"&amp;MATCH($J71,SorP!$B$1:$B$6230,0))))</f>
        <v>KR-41</v>
      </c>
      <c r="U71" s="241"/>
      <c r="V71" s="275">
        <f>IF(C71="",NA(),MATCH($B71&amp;$C71,'Smelter Look-up'!$J:$J,0))</f>
        <v>104</v>
      </c>
      <c r="W71" s="276"/>
      <c r="X71" s="276">
        <f t="shared" si="13"/>
        <v>0</v>
      </c>
      <c r="Y71" s="276"/>
      <c r="Z71" s="276"/>
      <c r="AB71" s="278" t="str">
        <f t="shared" si="14"/>
        <v>GoldHwaSeong CJ CO., LTD.</v>
      </c>
    </row>
    <row r="72" spans="1:28" s="277" customFormat="1" ht="49.5">
      <c r="A72" s="216" t="s">
        <v>699</v>
      </c>
      <c r="B72" s="217" t="s">
        <v>1153</v>
      </c>
      <c r="C72" s="450" t="s">
        <v>2424</v>
      </c>
      <c r="D72" s="217"/>
      <c r="E72" s="217" t="s">
        <v>1123</v>
      </c>
      <c r="F72" s="217" t="s">
        <v>699</v>
      </c>
      <c r="G72" s="217" t="s">
        <v>13577</v>
      </c>
      <c r="H72" s="451" t="s">
        <v>15753</v>
      </c>
      <c r="I72" s="452" t="s">
        <v>1623</v>
      </c>
      <c r="J72" s="452" t="s">
        <v>15754</v>
      </c>
      <c r="K72" s="453" t="s">
        <v>14249</v>
      </c>
      <c r="L72" s="453" t="s">
        <v>15755</v>
      </c>
      <c r="M72" s="453" t="s">
        <v>15756</v>
      </c>
      <c r="N72" s="453" t="s">
        <v>15511</v>
      </c>
      <c r="O72" s="453" t="s">
        <v>15533</v>
      </c>
      <c r="P72" s="454"/>
      <c r="Q72" s="455" t="s">
        <v>15520</v>
      </c>
      <c r="R72" s="217" t="str">
        <f ca="1">IF(ISERROR($V72),"",OFFSET('Smelter Look-up'!$C$4,$V72-4,0)&amp;"")</f>
        <v>Inner Mongolia Qiankun Gold and Silver Refinery Share Co., Ltd.</v>
      </c>
      <c r="S72" s="225" t="str">
        <f t="shared" ca="1" si="12"/>
        <v>CN</v>
      </c>
      <c r="T72" s="225" t="str">
        <f ca="1">IF(B72="","",IF(ISERROR(MATCH($J72,SorP!$B$1:$B$6230,0)),"",INDIRECT("'SorP'!$A$"&amp;MATCH($J72,SorP!$B$1:$B$6230,0))))</f>
        <v/>
      </c>
      <c r="U72" s="241"/>
      <c r="V72" s="275">
        <f>IF(C72="",NA(),MATCH($B72&amp;$C72,'Smelter Look-up'!$J:$J,0))</f>
        <v>105</v>
      </c>
      <c r="W72" s="276"/>
      <c r="X72" s="276">
        <f t="shared" si="13"/>
        <v>0</v>
      </c>
      <c r="Y72" s="276"/>
      <c r="Z72" s="276"/>
      <c r="AB72" s="278" t="str">
        <f t="shared" si="14"/>
        <v>GoldInner Mongolia Qiankun Gold and Silver Refinery Share Co., Ltd.</v>
      </c>
    </row>
    <row r="73" spans="1:28" s="277" customFormat="1" ht="20.25">
      <c r="A73" s="216" t="s">
        <v>700</v>
      </c>
      <c r="B73" s="217" t="s">
        <v>1153</v>
      </c>
      <c r="C73" s="450" t="s">
        <v>1251</v>
      </c>
      <c r="D73" s="217"/>
      <c r="E73" s="217" t="s">
        <v>1131</v>
      </c>
      <c r="F73" s="217" t="s">
        <v>700</v>
      </c>
      <c r="G73" s="217" t="s">
        <v>13577</v>
      </c>
      <c r="H73" s="451" t="s">
        <v>15757</v>
      </c>
      <c r="I73" s="452" t="s">
        <v>1624</v>
      </c>
      <c r="J73" s="452" t="s">
        <v>1610</v>
      </c>
      <c r="K73" s="453" t="s">
        <v>15758</v>
      </c>
      <c r="L73" s="453" t="s">
        <v>15759</v>
      </c>
      <c r="M73" s="453" t="s">
        <v>15565</v>
      </c>
      <c r="N73" s="453" t="s">
        <v>15760</v>
      </c>
      <c r="O73" s="453" t="s">
        <v>15519</v>
      </c>
      <c r="P73" s="454" t="s">
        <v>498</v>
      </c>
      <c r="Q73" s="455" t="s">
        <v>15513</v>
      </c>
      <c r="R73" s="217" t="str">
        <f ca="1">IF(ISERROR($V73),"",OFFSET('Smelter Look-up'!$C$4,$V73-4,0)&amp;"")</f>
        <v>Ishifuku Metal Industry Co., Ltd.</v>
      </c>
      <c r="S73" s="225" t="str">
        <f t="shared" ca="1" si="12"/>
        <v>JP</v>
      </c>
      <c r="T73" s="225" t="str">
        <f ca="1">IF(B73="","",IF(ISERROR(MATCH($J73,SorP!$B$1:$B$6230,0)),"",INDIRECT("'SorP'!$A$"&amp;MATCH($J73,SorP!$B$1:$B$6230,0))))</f>
        <v>JP-11</v>
      </c>
      <c r="U73" s="241"/>
      <c r="V73" s="275">
        <f>IF(C73="",NA(),MATCH($B73&amp;$C73,'Smelter Look-up'!$J:$J,0))</f>
        <v>107</v>
      </c>
      <c r="W73" s="276"/>
      <c r="X73" s="276">
        <f t="shared" si="13"/>
        <v>0</v>
      </c>
      <c r="Y73" s="276"/>
      <c r="Z73" s="276"/>
      <c r="AB73" s="278" t="str">
        <f t="shared" si="14"/>
        <v>GoldIshifuku Metal Industry Co., Ltd.</v>
      </c>
    </row>
    <row r="74" spans="1:28" s="277" customFormat="1" ht="24.75">
      <c r="A74" s="216" t="s">
        <v>701</v>
      </c>
      <c r="B74" s="217" t="s">
        <v>1153</v>
      </c>
      <c r="C74" s="450" t="s">
        <v>1258</v>
      </c>
      <c r="D74" s="217"/>
      <c r="E74" s="217" t="s">
        <v>912</v>
      </c>
      <c r="F74" s="217" t="s">
        <v>701</v>
      </c>
      <c r="G74" s="217" t="s">
        <v>13577</v>
      </c>
      <c r="H74" s="451" t="s">
        <v>15761</v>
      </c>
      <c r="I74" s="452" t="s">
        <v>1625</v>
      </c>
      <c r="J74" s="452" t="s">
        <v>11593</v>
      </c>
      <c r="K74" s="453" t="s">
        <v>15762</v>
      </c>
      <c r="L74" s="453" t="s">
        <v>15763</v>
      </c>
      <c r="M74" s="453" t="s">
        <v>15764</v>
      </c>
      <c r="N74" s="453" t="s">
        <v>15533</v>
      </c>
      <c r="O74" s="453" t="s">
        <v>15533</v>
      </c>
      <c r="P74" s="454"/>
      <c r="Q74" s="455" t="s">
        <v>15520</v>
      </c>
      <c r="R74" s="217" t="str">
        <f ca="1">IF(ISERROR($V74),"",OFFSET('Smelter Look-up'!$C$4,$V74-4,0)&amp;"")</f>
        <v>Istanbul Gold Refinery</v>
      </c>
      <c r="S74" s="225" t="str">
        <f t="shared" ca="1" si="12"/>
        <v>TR</v>
      </c>
      <c r="T74" s="225" t="str">
        <f ca="1">IF(B74="","",IF(ISERROR(MATCH($J74,SorP!$B$1:$B$6230,0)),"",INDIRECT("'SorP'!$A$"&amp;MATCH($J74,SorP!$B$1:$B$6230,0))))</f>
        <v>TR-34</v>
      </c>
      <c r="U74" s="241"/>
      <c r="V74" s="275">
        <f>IF(C74="",NA(),MATCH($B74&amp;$C74,'Smelter Look-up'!$J:$J,0))</f>
        <v>108</v>
      </c>
      <c r="W74" s="276"/>
      <c r="X74" s="276">
        <f t="shared" si="13"/>
        <v>0</v>
      </c>
      <c r="Y74" s="276"/>
      <c r="Z74" s="276"/>
      <c r="AB74" s="278" t="str">
        <f t="shared" si="14"/>
        <v>GoldIstanbul Gold Refinery</v>
      </c>
    </row>
    <row r="75" spans="1:28" s="277" customFormat="1" ht="20.25">
      <c r="A75" s="216" t="s">
        <v>702</v>
      </c>
      <c r="B75" s="217" t="s">
        <v>1153</v>
      </c>
      <c r="C75" s="450" t="s">
        <v>931</v>
      </c>
      <c r="D75" s="217"/>
      <c r="E75" s="217" t="s">
        <v>1131</v>
      </c>
      <c r="F75" s="217" t="s">
        <v>702</v>
      </c>
      <c r="G75" s="217" t="s">
        <v>13577</v>
      </c>
      <c r="H75" s="451" t="s">
        <v>15765</v>
      </c>
      <c r="I75" s="452" t="s">
        <v>1626</v>
      </c>
      <c r="J75" s="452" t="s">
        <v>1626</v>
      </c>
      <c r="K75" s="453" t="s">
        <v>14249</v>
      </c>
      <c r="L75" s="453" t="s">
        <v>15766</v>
      </c>
      <c r="M75" s="453" t="s">
        <v>15537</v>
      </c>
      <c r="N75" s="453" t="s">
        <v>15533</v>
      </c>
      <c r="O75" s="453" t="s">
        <v>15533</v>
      </c>
      <c r="P75" s="454"/>
      <c r="Q75" s="455" t="s">
        <v>15520</v>
      </c>
      <c r="R75" s="217" t="str">
        <f ca="1">IF(ISERROR($V75),"",OFFSET('Smelter Look-up'!$C$4,$V75-4,0)&amp;"")</f>
        <v>Japan Mint</v>
      </c>
      <c r="S75" s="225" t="str">
        <f t="shared" ca="1" si="12"/>
        <v>JP</v>
      </c>
      <c r="T75" s="225" t="str">
        <f ca="1">IF(B75="","",IF(ISERROR(MATCH($J75,SorP!$B$1:$B$6230,0)),"",INDIRECT("'SorP'!$A$"&amp;MATCH($J75,SorP!$B$1:$B$6230,0))))</f>
        <v>JP-27</v>
      </c>
      <c r="U75" s="241"/>
      <c r="V75" s="275">
        <f>IF(C75="",NA(),MATCH($B75&amp;$C75,'Smelter Look-up'!$J:$J,0))</f>
        <v>111</v>
      </c>
      <c r="W75" s="276"/>
      <c r="X75" s="276">
        <f t="shared" si="13"/>
        <v>0</v>
      </c>
      <c r="Y75" s="276"/>
      <c r="Z75" s="276"/>
      <c r="AB75" s="278" t="str">
        <f t="shared" si="14"/>
        <v>GoldJapan Mint</v>
      </c>
    </row>
    <row r="76" spans="1:28" s="277" customFormat="1" ht="37.15">
      <c r="A76" s="216" t="s">
        <v>818</v>
      </c>
      <c r="B76" s="217" t="s">
        <v>1156</v>
      </c>
      <c r="C76" s="450" t="s">
        <v>1405</v>
      </c>
      <c r="D76" s="217"/>
      <c r="E76" s="217" t="s">
        <v>1131</v>
      </c>
      <c r="F76" s="217" t="s">
        <v>818</v>
      </c>
      <c r="G76" s="217" t="s">
        <v>13577</v>
      </c>
      <c r="H76" s="451" t="s">
        <v>15767</v>
      </c>
      <c r="I76" s="452" t="s">
        <v>2239</v>
      </c>
      <c r="J76" s="452" t="s">
        <v>1605</v>
      </c>
      <c r="K76" s="453" t="s">
        <v>15768</v>
      </c>
      <c r="L76" s="453" t="s">
        <v>15769</v>
      </c>
      <c r="M76" s="453" t="s">
        <v>15770</v>
      </c>
      <c r="N76" s="453" t="s">
        <v>15542</v>
      </c>
      <c r="O76" s="453" t="s">
        <v>15771</v>
      </c>
      <c r="P76" s="454" t="s">
        <v>499</v>
      </c>
      <c r="Q76" s="455" t="s">
        <v>15513</v>
      </c>
      <c r="R76" s="217" t="str">
        <f ca="1">IF(ISERROR($V76),"",OFFSET('Smelter Look-up'!$C$4,$V76-4,0)&amp;"")</f>
        <v>Japan New Metals Co., Ltd.</v>
      </c>
      <c r="S76" s="225" t="str">
        <f t="shared" ca="1" si="12"/>
        <v>JP</v>
      </c>
      <c r="T76" s="225" t="str">
        <f ca="1">IF(B76="","",IF(ISERROR(MATCH($J76,SorP!$B$1:$B$6230,0)),"",INDIRECT("'SorP'!$A$"&amp;MATCH($J76,SorP!$B$1:$B$6230,0))))</f>
        <v>JP-05</v>
      </c>
      <c r="U76" s="241"/>
      <c r="V76" s="275">
        <f>IF(C76="",NA(),MATCH($B76&amp;$C76,'Smelter Look-up'!$J:$J,0))</f>
        <v>525</v>
      </c>
      <c r="W76" s="276"/>
      <c r="X76" s="276">
        <f t="shared" si="13"/>
        <v>0</v>
      </c>
      <c r="Y76" s="276"/>
      <c r="Z76" s="276"/>
      <c r="AB76" s="278" t="str">
        <f t="shared" si="14"/>
        <v>TungstenJapan New Metals Co., Ltd.</v>
      </c>
    </row>
    <row r="77" spans="1:28" s="277" customFormat="1" ht="24.75">
      <c r="A77" s="216" t="s">
        <v>703</v>
      </c>
      <c r="B77" s="217" t="s">
        <v>1153</v>
      </c>
      <c r="C77" s="450" t="s">
        <v>2425</v>
      </c>
      <c r="D77" s="217"/>
      <c r="E77" s="217" t="s">
        <v>1123</v>
      </c>
      <c r="F77" s="217" t="s">
        <v>703</v>
      </c>
      <c r="G77" s="217" t="s">
        <v>13577</v>
      </c>
      <c r="H77" s="451" t="s">
        <v>15772</v>
      </c>
      <c r="I77" s="452" t="s">
        <v>1627</v>
      </c>
      <c r="J77" s="452" t="s">
        <v>15601</v>
      </c>
      <c r="K77" s="453" t="s">
        <v>15773</v>
      </c>
      <c r="L77" s="453" t="s">
        <v>15774</v>
      </c>
      <c r="M77" s="453" t="s">
        <v>15537</v>
      </c>
      <c r="N77" s="453" t="s">
        <v>15511</v>
      </c>
      <c r="O77" s="453" t="s">
        <v>15533</v>
      </c>
      <c r="P77" s="454"/>
      <c r="Q77" s="455" t="s">
        <v>15513</v>
      </c>
      <c r="R77" s="217" t="str">
        <f ca="1">IF(ISERROR($V77),"",OFFSET('Smelter Look-up'!$C$4,$V77-4,0)&amp;"")</f>
        <v>Jiangxi Copper Co., Ltd.</v>
      </c>
      <c r="S77" s="225" t="str">
        <f t="shared" ca="1" si="12"/>
        <v>CN</v>
      </c>
      <c r="T77" s="225" t="str">
        <f ca="1">IF(B77="","",IF(ISERROR(MATCH($J77,SorP!$B$1:$B$6230,0)),"",INDIRECT("'SorP'!$A$"&amp;MATCH($J77,SorP!$B$1:$B$6230,0))))</f>
        <v/>
      </c>
      <c r="U77" s="241"/>
      <c r="V77" s="275">
        <f>IF(C77="",NA(),MATCH($B77&amp;$C77,'Smelter Look-up'!$J:$J,0))</f>
        <v>113</v>
      </c>
      <c r="W77" s="276"/>
      <c r="X77" s="276">
        <f t="shared" si="13"/>
        <v>0</v>
      </c>
      <c r="Y77" s="276"/>
      <c r="Z77" s="276"/>
      <c r="AB77" s="278" t="str">
        <f t="shared" si="14"/>
        <v>GoldJiangxi Copper Co., Ltd.</v>
      </c>
    </row>
    <row r="78" spans="1:28" s="277" customFormat="1" ht="24.75">
      <c r="A78" s="216" t="s">
        <v>819</v>
      </c>
      <c r="B78" s="217" t="s">
        <v>1156</v>
      </c>
      <c r="C78" s="450" t="s">
        <v>152</v>
      </c>
      <c r="D78" s="217"/>
      <c r="E78" s="217" t="s">
        <v>1123</v>
      </c>
      <c r="F78" s="217" t="s">
        <v>819</v>
      </c>
      <c r="G78" s="217" t="s">
        <v>13577</v>
      </c>
      <c r="H78" s="451" t="s">
        <v>15775</v>
      </c>
      <c r="I78" s="452" t="s">
        <v>1812</v>
      </c>
      <c r="J78" s="452" t="s">
        <v>15601</v>
      </c>
      <c r="K78" s="453" t="s">
        <v>15776</v>
      </c>
      <c r="L78" s="453" t="s">
        <v>15777</v>
      </c>
      <c r="M78" s="453" t="s">
        <v>15778</v>
      </c>
      <c r="N78" s="453" t="s">
        <v>15779</v>
      </c>
      <c r="O78" s="453" t="s">
        <v>15609</v>
      </c>
      <c r="P78" s="454" t="s">
        <v>499</v>
      </c>
      <c r="Q78" s="455" t="s">
        <v>15513</v>
      </c>
      <c r="R78" s="217" t="str">
        <f ca="1">IF(ISERROR($V78),"",OFFSET('Smelter Look-up'!$C$4,$V78-4,0)&amp;"")</f>
        <v>Ganzhou Huaxing Tungsten Products Co., Ltd.</v>
      </c>
      <c r="S78" s="225" t="str">
        <f t="shared" ca="1" si="12"/>
        <v>CN</v>
      </c>
      <c r="T78" s="225" t="str">
        <f ca="1">IF(B78="","",IF(ISERROR(MATCH($J78,SorP!$B$1:$B$6230,0)),"",INDIRECT("'SorP'!$A$"&amp;MATCH($J78,SorP!$B$1:$B$6230,0))))</f>
        <v/>
      </c>
      <c r="U78" s="241"/>
      <c r="V78" s="275">
        <f>IF(C78="",NA(),MATCH($B78&amp;$C78,'Smelter Look-up'!$J:$J,0))</f>
        <v>508</v>
      </c>
      <c r="W78" s="276"/>
      <c r="X78" s="276">
        <f t="shared" si="13"/>
        <v>0</v>
      </c>
      <c r="Y78" s="276"/>
      <c r="Z78" s="276"/>
      <c r="AB78" s="278" t="str">
        <f t="shared" si="14"/>
        <v>TungstenGanzhou Huaxing Tungsten Products Co., Ltd.</v>
      </c>
    </row>
    <row r="79" spans="1:28" s="277" customFormat="1" ht="37.15">
      <c r="A79" s="216" t="s">
        <v>769</v>
      </c>
      <c r="B79" s="217" t="s">
        <v>1155</v>
      </c>
      <c r="C79" s="450" t="s">
        <v>5</v>
      </c>
      <c r="D79" s="217"/>
      <c r="E79" s="217" t="s">
        <v>1123</v>
      </c>
      <c r="F79" s="217" t="s">
        <v>769</v>
      </c>
      <c r="G79" s="217" t="s">
        <v>13577</v>
      </c>
      <c r="H79" s="451" t="s">
        <v>15780</v>
      </c>
      <c r="I79" s="452" t="s">
        <v>1756</v>
      </c>
      <c r="J79" s="452" t="s">
        <v>15601</v>
      </c>
      <c r="K79" s="453" t="s">
        <v>15781</v>
      </c>
      <c r="L79" s="453" t="s">
        <v>15782</v>
      </c>
      <c r="M79" s="453" t="s">
        <v>15554</v>
      </c>
      <c r="N79" s="453" t="s">
        <v>15511</v>
      </c>
      <c r="O79" s="453" t="s">
        <v>15783</v>
      </c>
      <c r="P79" s="454" t="s">
        <v>499</v>
      </c>
      <c r="Q79" s="455" t="s">
        <v>15513</v>
      </c>
      <c r="R79" s="217" t="str">
        <f ca="1">IF(ISERROR($V79),"",OFFSET('Smelter Look-up'!$C$4,$V79-4,0)&amp;"")</f>
        <v>JiuJiang JinXin Nonferrous Metals Co., Ltd.</v>
      </c>
      <c r="S79" s="225" t="str">
        <f t="shared" ca="1" si="12"/>
        <v>CN</v>
      </c>
      <c r="T79" s="225" t="str">
        <f ca="1">IF(B79="","",IF(ISERROR(MATCH($J79,SorP!$B$1:$B$6230,0)),"",INDIRECT("'SorP'!$A$"&amp;MATCH($J79,SorP!$B$1:$B$6230,0))))</f>
        <v/>
      </c>
      <c r="U79" s="241"/>
      <c r="V79" s="275">
        <f>IF(C79="",NA(),MATCH($B79&amp;$C79,'Smelter Look-up'!$J:$J,0))</f>
        <v>316</v>
      </c>
      <c r="W79" s="276"/>
      <c r="X79" s="276">
        <f t="shared" si="13"/>
        <v>0</v>
      </c>
      <c r="Y79" s="276"/>
      <c r="Z79" s="276"/>
      <c r="AB79" s="278" t="str">
        <f t="shared" si="14"/>
        <v>TantalumJiuJiang JinXin Nonferrous Metals Co., Ltd.</v>
      </c>
    </row>
    <row r="80" spans="1:28" s="277" customFormat="1" ht="37.15">
      <c r="A80" s="216" t="s">
        <v>770</v>
      </c>
      <c r="B80" s="217" t="s">
        <v>1155</v>
      </c>
      <c r="C80" s="450" t="s">
        <v>48</v>
      </c>
      <c r="D80" s="217"/>
      <c r="E80" s="217" t="s">
        <v>1123</v>
      </c>
      <c r="F80" s="217" t="s">
        <v>770</v>
      </c>
      <c r="G80" s="217" t="s">
        <v>13577</v>
      </c>
      <c r="H80" s="451" t="s">
        <v>15784</v>
      </c>
      <c r="I80" s="452" t="s">
        <v>1756</v>
      </c>
      <c r="J80" s="452" t="s">
        <v>15601</v>
      </c>
      <c r="K80" s="453" t="s">
        <v>15785</v>
      </c>
      <c r="L80" s="453" t="s">
        <v>15786</v>
      </c>
      <c r="M80" s="453" t="s">
        <v>15787</v>
      </c>
      <c r="N80" s="453" t="s">
        <v>15542</v>
      </c>
      <c r="O80" s="453" t="s">
        <v>15788</v>
      </c>
      <c r="P80" s="454" t="s">
        <v>499</v>
      </c>
      <c r="Q80" s="455" t="s">
        <v>15513</v>
      </c>
      <c r="R80" s="217" t="str">
        <f ca="1">IF(ISERROR($V80),"",OFFSET('Smelter Look-up'!$C$4,$V80-4,0)&amp;"")</f>
        <v>Jiujiang Tanbre Co., Ltd.</v>
      </c>
      <c r="S80" s="225" t="str">
        <f t="shared" ca="1" si="12"/>
        <v>CN</v>
      </c>
      <c r="T80" s="225" t="str">
        <f ca="1">IF(B80="","",IF(ISERROR(MATCH($J80,SorP!$B$1:$B$6230,0)),"",INDIRECT("'SorP'!$A$"&amp;MATCH($J80,SorP!$B$1:$B$6230,0))))</f>
        <v/>
      </c>
      <c r="U80" s="241"/>
      <c r="V80" s="275">
        <f>IF(C80="",NA(),MATCH($B80&amp;$C80,'Smelter Look-up'!$J:$J,0))</f>
        <v>318</v>
      </c>
      <c r="W80" s="276"/>
      <c r="X80" s="276">
        <f t="shared" si="13"/>
        <v>0</v>
      </c>
      <c r="Y80" s="276"/>
      <c r="Z80" s="276"/>
      <c r="AB80" s="278" t="str">
        <f t="shared" si="14"/>
        <v>TantalumJiujiang Tanbre Co., Ltd.</v>
      </c>
    </row>
    <row r="81" spans="1:28" s="277" customFormat="1" ht="24.75">
      <c r="A81" s="216" t="s">
        <v>704</v>
      </c>
      <c r="B81" s="217" t="s">
        <v>1153</v>
      </c>
      <c r="C81" s="450" t="s">
        <v>2309</v>
      </c>
      <c r="D81" s="217"/>
      <c r="E81" s="217" t="s">
        <v>2576</v>
      </c>
      <c r="F81" s="217" t="s">
        <v>704</v>
      </c>
      <c r="G81" s="217" t="s">
        <v>13577</v>
      </c>
      <c r="H81" s="451" t="s">
        <v>15789</v>
      </c>
      <c r="I81" s="452" t="s">
        <v>1629</v>
      </c>
      <c r="J81" s="452" t="s">
        <v>1630</v>
      </c>
      <c r="K81" s="453" t="s">
        <v>15790</v>
      </c>
      <c r="L81" s="453" t="s">
        <v>15791</v>
      </c>
      <c r="M81" s="453" t="s">
        <v>15792</v>
      </c>
      <c r="N81" s="453" t="s">
        <v>15542</v>
      </c>
      <c r="O81" s="453" t="s">
        <v>15793</v>
      </c>
      <c r="P81" s="454" t="s">
        <v>499</v>
      </c>
      <c r="Q81" s="455" t="s">
        <v>15513</v>
      </c>
      <c r="R81" s="217" t="str">
        <f ca="1">IF(ISERROR($V81),"",OFFSET('Smelter Look-up'!$C$4,$V81-4,0)&amp;"")</f>
        <v>Asahi Refining USA Inc.</v>
      </c>
      <c r="S81" s="225" t="str">
        <f t="shared" ca="1" si="12"/>
        <v>US</v>
      </c>
      <c r="T81" s="225" t="str">
        <f ca="1">IF(B81="","",IF(ISERROR(MATCH($J81,SorP!$B$1:$B$6230,0)),"",INDIRECT("'SorP'!$A$"&amp;MATCH($J81,SorP!$B$1:$B$6230,0))))</f>
        <v>US-UT</v>
      </c>
      <c r="U81" s="241"/>
      <c r="V81" s="275">
        <f>IF(C81="",NA(),MATCH($B81&amp;$C81,'Smelter Look-up'!$J:$J,0))</f>
        <v>26</v>
      </c>
      <c r="W81" s="276"/>
      <c r="X81" s="276">
        <f t="shared" si="13"/>
        <v>0</v>
      </c>
      <c r="Y81" s="276"/>
      <c r="Z81" s="276"/>
      <c r="AB81" s="278" t="str">
        <f t="shared" si="14"/>
        <v>GoldAsahi Refining USA Inc.</v>
      </c>
    </row>
    <row r="82" spans="1:28" s="277" customFormat="1" ht="24.75">
      <c r="A82" s="216" t="s">
        <v>705</v>
      </c>
      <c r="B82" s="217" t="s">
        <v>1153</v>
      </c>
      <c r="C82" s="450" t="s">
        <v>2411</v>
      </c>
      <c r="D82" s="217"/>
      <c r="E82" s="217" t="s">
        <v>1120</v>
      </c>
      <c r="F82" s="217" t="s">
        <v>705</v>
      </c>
      <c r="G82" s="217" t="s">
        <v>13577</v>
      </c>
      <c r="H82" s="451" t="s">
        <v>15794</v>
      </c>
      <c r="I82" s="452" t="s">
        <v>1632</v>
      </c>
      <c r="J82" s="452" t="s">
        <v>1633</v>
      </c>
      <c r="K82" s="453" t="s">
        <v>15790</v>
      </c>
      <c r="L82" s="453" t="s">
        <v>15791</v>
      </c>
      <c r="M82" s="453" t="s">
        <v>15792</v>
      </c>
      <c r="N82" s="453" t="s">
        <v>15511</v>
      </c>
      <c r="O82" s="453" t="s">
        <v>15533</v>
      </c>
      <c r="P82" s="454"/>
      <c r="Q82" s="455" t="s">
        <v>15520</v>
      </c>
      <c r="R82" s="217" t="str">
        <f ca="1">IF(ISERROR($V82),"",OFFSET('Smelter Look-up'!$C$4,$V82-4,0)&amp;"")</f>
        <v>Asahi Refining Canada Ltd.</v>
      </c>
      <c r="S82" s="225" t="str">
        <f t="shared" ca="1" si="12"/>
        <v>CA</v>
      </c>
      <c r="T82" s="225" t="str">
        <f ca="1">IF(B82="","",IF(ISERROR(MATCH($J82,SorP!$B$1:$B$6230,0)),"",INDIRECT("'SorP'!$A$"&amp;MATCH($J82,SorP!$B$1:$B$6230,0))))</f>
        <v>CA-ON</v>
      </c>
      <c r="U82" s="241"/>
      <c r="V82" s="275">
        <f>IF(C82="",NA(),MATCH($B82&amp;$C82,'Smelter Look-up'!$J:$J,0))</f>
        <v>25</v>
      </c>
      <c r="W82" s="276"/>
      <c r="X82" s="276">
        <f t="shared" si="13"/>
        <v>0</v>
      </c>
      <c r="Y82" s="276"/>
      <c r="Z82" s="276"/>
      <c r="AB82" s="278" t="str">
        <f t="shared" si="14"/>
        <v>GoldAsahi Refining Canada Ltd.</v>
      </c>
    </row>
    <row r="83" spans="1:28" s="277" customFormat="1" ht="24.75">
      <c r="A83" s="216" t="s">
        <v>706</v>
      </c>
      <c r="B83" s="217" t="s">
        <v>1153</v>
      </c>
      <c r="C83" s="450" t="s">
        <v>932</v>
      </c>
      <c r="D83" s="217"/>
      <c r="E83" s="217" t="s">
        <v>906</v>
      </c>
      <c r="F83" s="217" t="s">
        <v>706</v>
      </c>
      <c r="G83" s="217" t="s">
        <v>13577</v>
      </c>
      <c r="H83" s="451" t="s">
        <v>14249</v>
      </c>
      <c r="I83" s="452" t="s">
        <v>1634</v>
      </c>
      <c r="J83" s="452" t="s">
        <v>10268</v>
      </c>
      <c r="K83" s="453" t="s">
        <v>14249</v>
      </c>
      <c r="L83" s="453" t="s">
        <v>14249</v>
      </c>
      <c r="M83" s="453" t="s">
        <v>14249</v>
      </c>
      <c r="N83" s="453" t="s">
        <v>14249</v>
      </c>
      <c r="O83" s="453" t="s">
        <v>14249</v>
      </c>
      <c r="P83" s="454" t="s">
        <v>14249</v>
      </c>
      <c r="Q83" s="455" t="s">
        <v>14249</v>
      </c>
      <c r="R83" s="217" t="str">
        <f ca="1">IF(ISERROR($V83),"",OFFSET('Smelter Look-up'!$C$4,$V83-4,0)&amp;"")</f>
        <v>JSC Ekaterinburg Non-Ferrous Metal Processing Plant</v>
      </c>
      <c r="S83" s="225" t="str">
        <f t="shared" ca="1" si="12"/>
        <v>RU</v>
      </c>
      <c r="T83" s="225" t="str">
        <f ca="1">IF(B83="","",IF(ISERROR(MATCH($J83,SorP!$B$1:$B$6230,0)),"",INDIRECT("'SorP'!$A$"&amp;MATCH($J83,SorP!$B$1:$B$6230,0))))</f>
        <v>RU-SVE</v>
      </c>
      <c r="U83" s="241"/>
      <c r="V83" s="275">
        <f>IF(C83="",NA(),MATCH($B83&amp;$C83,'Smelter Look-up'!$J:$J,0))</f>
        <v>118</v>
      </c>
      <c r="W83" s="276"/>
      <c r="X83" s="276">
        <f t="shared" si="13"/>
        <v>0</v>
      </c>
      <c r="Y83" s="276"/>
      <c r="Z83" s="276"/>
      <c r="AB83" s="278" t="str">
        <f t="shared" si="14"/>
        <v>GoldJSC Ekaterinburg Non-Ferrous Metal Processing Plant</v>
      </c>
    </row>
    <row r="84" spans="1:28" s="277" customFormat="1" ht="37.15">
      <c r="A84" s="216" t="s">
        <v>707</v>
      </c>
      <c r="B84" s="217" t="s">
        <v>1153</v>
      </c>
      <c r="C84" s="450" t="s">
        <v>1430</v>
      </c>
      <c r="D84" s="217"/>
      <c r="E84" s="217" t="s">
        <v>906</v>
      </c>
      <c r="F84" s="217" t="s">
        <v>707</v>
      </c>
      <c r="G84" s="217" t="s">
        <v>13577</v>
      </c>
      <c r="H84" s="451" t="s">
        <v>15795</v>
      </c>
      <c r="I84" s="452" t="s">
        <v>1634</v>
      </c>
      <c r="J84" s="452" t="s">
        <v>10268</v>
      </c>
      <c r="K84" s="453" t="s">
        <v>14249</v>
      </c>
      <c r="L84" s="453" t="s">
        <v>15796</v>
      </c>
      <c r="M84" s="453" t="s">
        <v>15797</v>
      </c>
      <c r="N84" s="453" t="s">
        <v>15511</v>
      </c>
      <c r="O84" s="453" t="s">
        <v>15533</v>
      </c>
      <c r="P84" s="454"/>
      <c r="Q84" s="455" t="s">
        <v>15520</v>
      </c>
      <c r="R84" s="217" t="str">
        <f ca="1">IF(ISERROR($V84),"",OFFSET('Smelter Look-up'!$C$4,$V84-4,0)&amp;"")</f>
        <v>JSC Uralelectromed</v>
      </c>
      <c r="S84" s="225" t="str">
        <f t="shared" ca="1" si="12"/>
        <v>RU</v>
      </c>
      <c r="T84" s="225" t="str">
        <f ca="1">IF(B84="","",IF(ISERROR(MATCH($J84,SorP!$B$1:$B$6230,0)),"",INDIRECT("'SorP'!$A$"&amp;MATCH($J84,SorP!$B$1:$B$6230,0))))</f>
        <v>RU-SVE</v>
      </c>
      <c r="U84" s="241"/>
      <c r="V84" s="275">
        <f>IF(C84="",NA(),MATCH($B84&amp;$C84,'Smelter Look-up'!$J:$J,0))</f>
        <v>119</v>
      </c>
      <c r="W84" s="276"/>
      <c r="X84" s="276">
        <f t="shared" si="13"/>
        <v>0</v>
      </c>
      <c r="Y84" s="276"/>
      <c r="Z84" s="276"/>
      <c r="AB84" s="278" t="str">
        <f t="shared" si="14"/>
        <v>GoldJSC Uralelectromed</v>
      </c>
    </row>
    <row r="85" spans="1:28" s="277" customFormat="1" ht="37.15">
      <c r="A85" s="216" t="s">
        <v>708</v>
      </c>
      <c r="B85" s="217" t="s">
        <v>1153</v>
      </c>
      <c r="C85" s="450" t="s">
        <v>57</v>
      </c>
      <c r="D85" s="217"/>
      <c r="E85" s="217" t="s">
        <v>1131</v>
      </c>
      <c r="F85" s="217" t="s">
        <v>708</v>
      </c>
      <c r="G85" s="217" t="s">
        <v>13577</v>
      </c>
      <c r="H85" s="451" t="s">
        <v>15798</v>
      </c>
      <c r="I85" s="452" t="s">
        <v>2496</v>
      </c>
      <c r="J85" s="452" t="s">
        <v>6885</v>
      </c>
      <c r="K85" s="453" t="s">
        <v>15799</v>
      </c>
      <c r="L85" s="453" t="s">
        <v>15800</v>
      </c>
      <c r="M85" s="453" t="s">
        <v>15537</v>
      </c>
      <c r="N85" s="453" t="s">
        <v>15801</v>
      </c>
      <c r="O85" s="453" t="s">
        <v>15802</v>
      </c>
      <c r="P85" s="454" t="s">
        <v>499</v>
      </c>
      <c r="Q85" s="455" t="s">
        <v>15513</v>
      </c>
      <c r="R85" s="217" t="str">
        <f ca="1">IF(ISERROR($V85),"",OFFSET('Smelter Look-up'!$C$4,$V85-4,0)&amp;"")</f>
        <v>JX Nippon Mining &amp; Metals Co., Ltd.</v>
      </c>
      <c r="S85" s="225" t="str">
        <f t="shared" ca="1" si="12"/>
        <v>JP</v>
      </c>
      <c r="T85" s="225" t="str">
        <f ca="1">IF(B85="","",IF(ISERROR(MATCH($J85,SorP!$B$1:$B$6230,0)),"",INDIRECT("'SorP'!$A$"&amp;MATCH($J85,SorP!$B$1:$B$6230,0))))</f>
        <v>JP-44</v>
      </c>
      <c r="U85" s="241"/>
      <c r="V85" s="275">
        <f>IF(C85="",NA(),MATCH($B85&amp;$C85,'Smelter Look-up'!$J:$J,0))</f>
        <v>120</v>
      </c>
      <c r="W85" s="276"/>
      <c r="X85" s="276">
        <f t="shared" si="13"/>
        <v>0</v>
      </c>
      <c r="Y85" s="276"/>
      <c r="Z85" s="276"/>
      <c r="AB85" s="278" t="str">
        <f t="shared" si="14"/>
        <v>GoldJX Nippon Mining &amp; Metals Co., Ltd.</v>
      </c>
    </row>
    <row r="86" spans="1:28" s="277" customFormat="1" ht="37.15">
      <c r="A86" s="216" t="s">
        <v>790</v>
      </c>
      <c r="B86" s="217" t="s">
        <v>1154</v>
      </c>
      <c r="C86" s="450" t="s">
        <v>1450</v>
      </c>
      <c r="D86" s="217"/>
      <c r="E86" s="217" t="s">
        <v>1123</v>
      </c>
      <c r="F86" s="217" t="s">
        <v>790</v>
      </c>
      <c r="G86" s="217" t="s">
        <v>13577</v>
      </c>
      <c r="H86" s="451" t="s">
        <v>15803</v>
      </c>
      <c r="I86" s="452" t="s">
        <v>2590</v>
      </c>
      <c r="J86" s="452" t="s">
        <v>15578</v>
      </c>
      <c r="K86" s="453" t="s">
        <v>15804</v>
      </c>
      <c r="L86" s="453" t="s">
        <v>15805</v>
      </c>
      <c r="M86" s="453" t="s">
        <v>15806</v>
      </c>
      <c r="N86" s="453" t="s">
        <v>15511</v>
      </c>
      <c r="O86" s="453" t="s">
        <v>15807</v>
      </c>
      <c r="P86" s="454" t="s">
        <v>499</v>
      </c>
      <c r="Q86" s="455" t="s">
        <v>15513</v>
      </c>
      <c r="R86" s="217" t="str">
        <f ca="1">IF(ISERROR($V86),"",OFFSET('Smelter Look-up'!$C$4,$V86-4,0)&amp;"")</f>
        <v>Gejiu Kai Meng Industry and Trade LLC</v>
      </c>
      <c r="S86" s="225" t="str">
        <f t="shared" ca="1" si="12"/>
        <v>CN</v>
      </c>
      <c r="T86" s="225" t="str">
        <f ca="1">IF(B86="","",IF(ISERROR(MATCH($J86,SorP!$B$1:$B$6230,0)),"",INDIRECT("'SorP'!$A$"&amp;MATCH($J86,SorP!$B$1:$B$6230,0))))</f>
        <v/>
      </c>
      <c r="U86" s="241"/>
      <c r="V86" s="275">
        <f>IF(C86="",NA(),MATCH($B86&amp;$C86,'Smelter Look-up'!$J:$J,0))</f>
        <v>388</v>
      </c>
      <c r="W86" s="276"/>
      <c r="X86" s="276">
        <f t="shared" si="13"/>
        <v>0</v>
      </c>
      <c r="Y86" s="276"/>
      <c r="Z86" s="276"/>
      <c r="AB86" s="278" t="str">
        <f t="shared" si="14"/>
        <v>TinGejiu Kai Meng Industry and Trade LLC</v>
      </c>
    </row>
    <row r="87" spans="1:28" s="277" customFormat="1" ht="20.25">
      <c r="A87" s="216" t="s">
        <v>2304</v>
      </c>
      <c r="B87" s="217" t="s">
        <v>1153</v>
      </c>
      <c r="C87" s="450" t="s">
        <v>2303</v>
      </c>
      <c r="D87" s="217"/>
      <c r="E87" s="217" t="s">
        <v>1132</v>
      </c>
      <c r="F87" s="217" t="s">
        <v>2304</v>
      </c>
      <c r="G87" s="217" t="s">
        <v>13577</v>
      </c>
      <c r="H87" s="451" t="s">
        <v>14249</v>
      </c>
      <c r="I87" s="452" t="s">
        <v>2305</v>
      </c>
      <c r="J87" s="452" t="s">
        <v>7279</v>
      </c>
      <c r="K87" s="453" t="s">
        <v>14249</v>
      </c>
      <c r="L87" s="453" t="s">
        <v>14249</v>
      </c>
      <c r="M87" s="453" t="s">
        <v>14249</v>
      </c>
      <c r="N87" s="453" t="s">
        <v>14249</v>
      </c>
      <c r="O87" s="453" t="s">
        <v>14249</v>
      </c>
      <c r="P87" s="454" t="s">
        <v>14249</v>
      </c>
      <c r="Q87" s="455" t="s">
        <v>14249</v>
      </c>
      <c r="R87" s="217" t="str">
        <f ca="1">IF(ISERROR($V87),"",OFFSET('Smelter Look-up'!$C$4,$V87-4,0)&amp;"")</f>
        <v>Kazakhmys Smelting LLC</v>
      </c>
      <c r="S87" s="225" t="str">
        <f t="shared" ca="1" si="12"/>
        <v>KZ</v>
      </c>
      <c r="T87" s="225" t="str">
        <f ca="1">IF(B87="","",IF(ISERROR(MATCH($J87,SorP!$B$1:$B$6230,0)),"",INDIRECT("'SorP'!$A$"&amp;MATCH($J87,SorP!$B$1:$B$6230,0))))</f>
        <v>KZ-KAR</v>
      </c>
      <c r="U87" s="241"/>
      <c r="V87" s="275">
        <f>IF(C87="",NA(),MATCH($B87&amp;$C87,'Smelter Look-up'!$J:$J,0))</f>
        <v>122</v>
      </c>
      <c r="W87" s="276"/>
      <c r="X87" s="276">
        <f t="shared" si="13"/>
        <v>0</v>
      </c>
      <c r="Y87" s="276"/>
      <c r="Z87" s="276"/>
      <c r="AB87" s="278" t="str">
        <f t="shared" si="14"/>
        <v>GoldKazakhmys Smelting LLC</v>
      </c>
    </row>
    <row r="88" spans="1:28" s="277" customFormat="1" ht="24.75">
      <c r="A88" s="216" t="s">
        <v>709</v>
      </c>
      <c r="B88" s="217" t="s">
        <v>1153</v>
      </c>
      <c r="C88" s="450" t="s">
        <v>1635</v>
      </c>
      <c r="D88" s="217"/>
      <c r="E88" s="217" t="s">
        <v>1132</v>
      </c>
      <c r="F88" s="217" t="s">
        <v>709</v>
      </c>
      <c r="G88" s="217" t="s">
        <v>13577</v>
      </c>
      <c r="H88" s="451" t="s">
        <v>15808</v>
      </c>
      <c r="I88" s="452" t="s">
        <v>1636</v>
      </c>
      <c r="J88" s="452" t="s">
        <v>7279</v>
      </c>
      <c r="K88" s="453" t="s">
        <v>14249</v>
      </c>
      <c r="L88" s="453" t="s">
        <v>15809</v>
      </c>
      <c r="M88" s="453" t="s">
        <v>15565</v>
      </c>
      <c r="N88" s="453" t="s">
        <v>15511</v>
      </c>
      <c r="O88" s="453" t="s">
        <v>15533</v>
      </c>
      <c r="P88" s="454"/>
      <c r="Q88" s="455" t="s">
        <v>15520</v>
      </c>
      <c r="R88" s="217" t="str">
        <f ca="1">IF(ISERROR($V88),"",OFFSET('Smelter Look-up'!$C$4,$V88-4,0)&amp;"")</f>
        <v>Kazzinc</v>
      </c>
      <c r="S88" s="225" t="str">
        <f t="shared" ca="1" si="12"/>
        <v>KZ</v>
      </c>
      <c r="T88" s="225" t="str">
        <f ca="1">IF(B88="","",IF(ISERROR(MATCH($J88,SorP!$B$1:$B$6230,0)),"",INDIRECT("'SorP'!$A$"&amp;MATCH($J88,SorP!$B$1:$B$6230,0))))</f>
        <v>KZ-KAR</v>
      </c>
      <c r="U88" s="241"/>
      <c r="V88" s="275">
        <f>IF(C88="",NA(),MATCH($B88&amp;$C88,'Smelter Look-up'!$J:$J,0))</f>
        <v>123</v>
      </c>
      <c r="W88" s="276"/>
      <c r="X88" s="276">
        <f t="shared" si="13"/>
        <v>0</v>
      </c>
      <c r="Y88" s="276"/>
      <c r="Z88" s="276"/>
      <c r="AB88" s="278" t="str">
        <f t="shared" si="14"/>
        <v>GoldKazzinc</v>
      </c>
    </row>
    <row r="89" spans="1:28" s="277" customFormat="1" ht="24.75">
      <c r="A89" s="216" t="s">
        <v>820</v>
      </c>
      <c r="B89" s="217" t="s">
        <v>1156</v>
      </c>
      <c r="C89" s="450" t="s">
        <v>153</v>
      </c>
      <c r="D89" s="217"/>
      <c r="E89" s="217" t="s">
        <v>2576</v>
      </c>
      <c r="F89" s="217" t="s">
        <v>820</v>
      </c>
      <c r="G89" s="217" t="s">
        <v>13577</v>
      </c>
      <c r="H89" s="451" t="s">
        <v>15810</v>
      </c>
      <c r="I89" s="452" t="s">
        <v>1871</v>
      </c>
      <c r="J89" s="452" t="s">
        <v>1794</v>
      </c>
      <c r="K89" s="453" t="s">
        <v>15552</v>
      </c>
      <c r="L89" s="453" t="s">
        <v>15553</v>
      </c>
      <c r="M89" s="453" t="s">
        <v>15554</v>
      </c>
      <c r="N89" s="453" t="s">
        <v>15542</v>
      </c>
      <c r="O89" s="453" t="s">
        <v>15771</v>
      </c>
      <c r="P89" s="454" t="s">
        <v>499</v>
      </c>
      <c r="Q89" s="455" t="s">
        <v>15513</v>
      </c>
      <c r="R89" s="217" t="str">
        <f ca="1">IF(ISERROR($V89),"",OFFSET('Smelter Look-up'!$C$4,$V89-4,0)&amp;"")</f>
        <v>Kennametal Fallon</v>
      </c>
      <c r="S89" s="225" t="str">
        <f t="shared" ca="1" si="12"/>
        <v>US</v>
      </c>
      <c r="T89" s="225" t="str">
        <f ca="1">IF(B89="","",IF(ISERROR(MATCH($J89,SorP!$B$1:$B$6230,0)),"",INDIRECT("'SorP'!$A$"&amp;MATCH($J89,SorP!$B$1:$B$6230,0))))</f>
        <v>US-NV</v>
      </c>
      <c r="U89" s="241"/>
      <c r="V89" s="275">
        <f>IF(C89="",NA(),MATCH($B89&amp;$C89,'Smelter Look-up'!$J:$J,0))</f>
        <v>537</v>
      </c>
      <c r="W89" s="276"/>
      <c r="X89" s="276">
        <f t="shared" si="13"/>
        <v>0</v>
      </c>
      <c r="Y89" s="276"/>
      <c r="Z89" s="276"/>
      <c r="AB89" s="278" t="str">
        <f t="shared" si="14"/>
        <v>TungstenKennametal Fallon</v>
      </c>
    </row>
    <row r="90" spans="1:28" s="277" customFormat="1" ht="24.75">
      <c r="A90" s="216" t="s">
        <v>711</v>
      </c>
      <c r="B90" s="217" t="s">
        <v>1153</v>
      </c>
      <c r="C90" s="450" t="s">
        <v>710</v>
      </c>
      <c r="D90" s="217"/>
      <c r="E90" s="217" t="s">
        <v>2576</v>
      </c>
      <c r="F90" s="217" t="s">
        <v>711</v>
      </c>
      <c r="G90" s="217" t="s">
        <v>13577</v>
      </c>
      <c r="H90" s="451" t="s">
        <v>15811</v>
      </c>
      <c r="I90" s="452" t="s">
        <v>1637</v>
      </c>
      <c r="J90" s="452" t="s">
        <v>1630</v>
      </c>
      <c r="K90" s="453" t="s">
        <v>15812</v>
      </c>
      <c r="L90" s="453" t="s">
        <v>15813</v>
      </c>
      <c r="M90" s="453" t="s">
        <v>15565</v>
      </c>
      <c r="N90" s="453" t="s">
        <v>15511</v>
      </c>
      <c r="O90" s="453" t="s">
        <v>15814</v>
      </c>
      <c r="P90" s="454"/>
      <c r="Q90" s="455" t="s">
        <v>15513</v>
      </c>
      <c r="R90" s="217" t="str">
        <f ca="1">IF(ISERROR($V90),"",OFFSET('Smelter Look-up'!$C$4,$V90-4,0)&amp;"")</f>
        <v>Kennecott Utah Copper LLC</v>
      </c>
      <c r="S90" s="225" t="str">
        <f t="shared" ca="1" si="12"/>
        <v>US</v>
      </c>
      <c r="T90" s="225" t="str">
        <f ca="1">IF(B90="","",IF(ISERROR(MATCH($J90,SorP!$B$1:$B$6230,0)),"",INDIRECT("'SorP'!$A$"&amp;MATCH($J90,SorP!$B$1:$B$6230,0))))</f>
        <v>US-UT</v>
      </c>
      <c r="U90" s="241"/>
      <c r="V90" s="275">
        <f>IF(C90="",NA(),MATCH($B90&amp;$C90,'Smelter Look-up'!$J:$J,0))</f>
        <v>124</v>
      </c>
      <c r="W90" s="276"/>
      <c r="X90" s="276">
        <f t="shared" si="13"/>
        <v>0</v>
      </c>
      <c r="Y90" s="276"/>
      <c r="Z90" s="276"/>
      <c r="AB90" s="278" t="str">
        <f t="shared" si="14"/>
        <v>GoldKennecott Utah Copper LLC</v>
      </c>
    </row>
    <row r="91" spans="1:28" s="277" customFormat="1" ht="37.15">
      <c r="A91" s="216" t="s">
        <v>712</v>
      </c>
      <c r="B91" s="217" t="s">
        <v>1153</v>
      </c>
      <c r="C91" s="450" t="s">
        <v>2252</v>
      </c>
      <c r="D91" s="217"/>
      <c r="E91" s="217" t="s">
        <v>1131</v>
      </c>
      <c r="F91" s="217" t="s">
        <v>712</v>
      </c>
      <c r="G91" s="217" t="s">
        <v>13577</v>
      </c>
      <c r="H91" s="451" t="s">
        <v>15815</v>
      </c>
      <c r="I91" s="452" t="s">
        <v>1638</v>
      </c>
      <c r="J91" s="452" t="s">
        <v>1610</v>
      </c>
      <c r="K91" s="453" t="s">
        <v>15816</v>
      </c>
      <c r="L91" s="453" t="s">
        <v>15817</v>
      </c>
      <c r="M91" s="453" t="s">
        <v>15818</v>
      </c>
      <c r="N91" s="453" t="s">
        <v>15542</v>
      </c>
      <c r="O91" s="453" t="s">
        <v>15771</v>
      </c>
      <c r="P91" s="454" t="s">
        <v>499</v>
      </c>
      <c r="Q91" s="455" t="s">
        <v>15513</v>
      </c>
      <c r="R91" s="217" t="str">
        <f ca="1">IF(ISERROR($V91),"",OFFSET('Smelter Look-up'!$C$4,$V91-4,0)&amp;"")</f>
        <v>Kojima Chemicals Co., Ltd.</v>
      </c>
      <c r="S91" s="225" t="str">
        <f t="shared" ca="1" si="12"/>
        <v>JP</v>
      </c>
      <c r="T91" s="225" t="str">
        <f ca="1">IF(B91="","",IF(ISERROR(MATCH($J91,SorP!$B$1:$B$6230,0)),"",INDIRECT("'SorP'!$A$"&amp;MATCH($J91,SorP!$B$1:$B$6230,0))))</f>
        <v>JP-11</v>
      </c>
      <c r="U91" s="241"/>
      <c r="V91" s="275">
        <f>IF(C91="",NA(),MATCH($B91&amp;$C91,'Smelter Look-up'!$J:$J,0))</f>
        <v>128</v>
      </c>
      <c r="W91" s="276"/>
      <c r="X91" s="276">
        <f t="shared" si="13"/>
        <v>0</v>
      </c>
      <c r="Y91" s="276"/>
      <c r="Z91" s="276"/>
      <c r="AB91" s="278" t="str">
        <f t="shared" si="14"/>
        <v>GoldKojima Chemicals Co., Ltd.</v>
      </c>
    </row>
    <row r="92" spans="1:28" s="277" customFormat="1" ht="49.5">
      <c r="A92" s="216" t="s">
        <v>713</v>
      </c>
      <c r="B92" s="217" t="s">
        <v>1153</v>
      </c>
      <c r="C92" s="450" t="s">
        <v>869</v>
      </c>
      <c r="D92" s="217"/>
      <c r="E92" s="217" t="s">
        <v>1133</v>
      </c>
      <c r="F92" s="217" t="s">
        <v>713</v>
      </c>
      <c r="G92" s="217" t="s">
        <v>13577</v>
      </c>
      <c r="H92" s="451" t="s">
        <v>15819</v>
      </c>
      <c r="I92" s="452" t="s">
        <v>1640</v>
      </c>
      <c r="J92" s="452" t="s">
        <v>13191</v>
      </c>
      <c r="K92" s="453" t="s">
        <v>15820</v>
      </c>
      <c r="L92" s="453" t="s">
        <v>15821</v>
      </c>
      <c r="M92" s="453" t="s">
        <v>15537</v>
      </c>
      <c r="N92" s="453" t="s">
        <v>15511</v>
      </c>
      <c r="O92" s="453" t="s">
        <v>15533</v>
      </c>
      <c r="P92" s="454"/>
      <c r="Q92" s="455" t="s">
        <v>15520</v>
      </c>
      <c r="R92" s="217" t="str">
        <f ca="1">IF(ISERROR($V92),"",OFFSET('Smelter Look-up'!$C$4,$V92-4,0)&amp;"")</f>
        <v>Kyrgyzaltyn JSC</v>
      </c>
      <c r="S92" s="225" t="str">
        <f t="shared" ca="1" si="12"/>
        <v>KG</v>
      </c>
      <c r="T92" s="225" t="str">
        <f ca="1">IF(B92="","",IF(ISERROR(MATCH($J92,SorP!$B$1:$B$6230,0)),"",INDIRECT("'SorP'!$A$"&amp;MATCH($J92,SorP!$B$1:$B$6230,0))))</f>
        <v>KG-C</v>
      </c>
      <c r="U92" s="241"/>
      <c r="V92" s="275">
        <f>IF(C92="",NA(),MATCH($B92&amp;$C92,'Smelter Look-up'!$J:$J,0))</f>
        <v>134</v>
      </c>
      <c r="W92" s="276"/>
      <c r="X92" s="276">
        <f t="shared" si="13"/>
        <v>0</v>
      </c>
      <c r="Y92" s="276"/>
      <c r="Z92" s="276"/>
      <c r="AB92" s="278" t="str">
        <f t="shared" si="14"/>
        <v>GoldKyrgyzaltyn JSC</v>
      </c>
    </row>
    <row r="93" spans="1:28" s="277" customFormat="1" ht="20.25">
      <c r="A93" s="216" t="s">
        <v>714</v>
      </c>
      <c r="B93" s="217" t="s">
        <v>1153</v>
      </c>
      <c r="C93" s="450" t="s">
        <v>2429</v>
      </c>
      <c r="D93" s="217"/>
      <c r="E93" s="217" t="s">
        <v>907</v>
      </c>
      <c r="F93" s="217" t="s">
        <v>714</v>
      </c>
      <c r="G93" s="217" t="s">
        <v>13577</v>
      </c>
      <c r="H93" s="451" t="s">
        <v>14249</v>
      </c>
      <c r="I93" s="452" t="s">
        <v>1641</v>
      </c>
      <c r="J93" s="452" t="s">
        <v>10412</v>
      </c>
      <c r="K93" s="453" t="s">
        <v>14249</v>
      </c>
      <c r="L93" s="453" t="s">
        <v>14249</v>
      </c>
      <c r="M93" s="453" t="s">
        <v>14249</v>
      </c>
      <c r="N93" s="453" t="s">
        <v>14249</v>
      </c>
      <c r="O93" s="453" t="s">
        <v>14249</v>
      </c>
      <c r="P93" s="454" t="s">
        <v>14249</v>
      </c>
      <c r="Q93" s="455" t="s">
        <v>14249</v>
      </c>
      <c r="R93" s="217" t="str">
        <f ca="1">IF(ISERROR($V93),"",OFFSET('Smelter Look-up'!$C$4,$V93-4,0)&amp;"")</f>
        <v>L'azurde Company For Jewelry</v>
      </c>
      <c r="S93" s="225" t="str">
        <f t="shared" ca="1" si="12"/>
        <v>SA</v>
      </c>
      <c r="T93" s="225" t="str">
        <f ca="1">IF(B93="","",IF(ISERROR(MATCH($J93,SorP!$B$1:$B$6230,0)),"",INDIRECT("'SorP'!$A$"&amp;MATCH($J93,SorP!$B$1:$B$6230,0))))</f>
        <v>SA-01</v>
      </c>
      <c r="U93" s="241"/>
      <c r="V93" s="275">
        <f>IF(C93="",NA(),MATCH($B93&amp;$C93,'Smelter Look-up'!$J:$J,0))</f>
        <v>138</v>
      </c>
      <c r="W93" s="276"/>
      <c r="X93" s="276">
        <f t="shared" si="13"/>
        <v>0</v>
      </c>
      <c r="Y93" s="276"/>
      <c r="Z93" s="276"/>
      <c r="AB93" s="278" t="str">
        <f t="shared" si="14"/>
        <v>GoldL'azurde Company For Jewelry</v>
      </c>
    </row>
    <row r="94" spans="1:28" s="277" customFormat="1" ht="20.25">
      <c r="A94" s="216" t="s">
        <v>1413</v>
      </c>
      <c r="B94" s="217" t="s">
        <v>1153</v>
      </c>
      <c r="C94" s="450" t="s">
        <v>2430</v>
      </c>
      <c r="D94" s="217"/>
      <c r="E94" s="217" t="s">
        <v>1123</v>
      </c>
      <c r="F94" s="217" t="s">
        <v>1413</v>
      </c>
      <c r="G94" s="217" t="s">
        <v>13577</v>
      </c>
      <c r="H94" s="451" t="s">
        <v>14249</v>
      </c>
      <c r="I94" s="452" t="s">
        <v>1642</v>
      </c>
      <c r="J94" s="452" t="s">
        <v>15822</v>
      </c>
      <c r="K94" s="453" t="s">
        <v>14249</v>
      </c>
      <c r="L94" s="453" t="s">
        <v>14249</v>
      </c>
      <c r="M94" s="453" t="s">
        <v>14249</v>
      </c>
      <c r="N94" s="453" t="s">
        <v>14249</v>
      </c>
      <c r="O94" s="453" t="s">
        <v>14249</v>
      </c>
      <c r="P94" s="454" t="s">
        <v>14249</v>
      </c>
      <c r="Q94" s="455" t="s">
        <v>14249</v>
      </c>
      <c r="R94" s="217" t="str">
        <f ca="1">IF(ISERROR($V94),"",OFFSET('Smelter Look-up'!$C$4,$V94-4,0)&amp;"")</f>
        <v>Lingbao Gold Co., Ltd.</v>
      </c>
      <c r="S94" s="225" t="str">
        <f t="shared" ca="1" si="12"/>
        <v>CN</v>
      </c>
      <c r="T94" s="225" t="str">
        <f ca="1">IF(B94="","",IF(ISERROR(MATCH($J94,SorP!$B$1:$B$6230,0)),"",INDIRECT("'SorP'!$A$"&amp;MATCH($J94,SorP!$B$1:$B$6230,0))))</f>
        <v/>
      </c>
      <c r="U94" s="241"/>
      <c r="V94" s="275">
        <f>IF(C94="",NA(),MATCH($B94&amp;$C94,'Smelter Look-up'!$J:$J,0))</f>
        <v>140</v>
      </c>
      <c r="W94" s="276"/>
      <c r="X94" s="276">
        <f t="shared" si="13"/>
        <v>0</v>
      </c>
      <c r="Y94" s="276"/>
      <c r="Z94" s="276"/>
      <c r="AB94" s="278" t="str">
        <f t="shared" si="14"/>
        <v>GoldLingbao Gold Co., Ltd.</v>
      </c>
    </row>
    <row r="95" spans="1:28" s="277" customFormat="1" ht="20.25">
      <c r="A95" s="216" t="s">
        <v>715</v>
      </c>
      <c r="B95" s="217" t="s">
        <v>1153</v>
      </c>
      <c r="C95" s="450" t="s">
        <v>2253</v>
      </c>
      <c r="D95" s="217"/>
      <c r="E95" s="217" t="s">
        <v>1123</v>
      </c>
      <c r="F95" s="217" t="s">
        <v>715</v>
      </c>
      <c r="G95" s="217" t="s">
        <v>13577</v>
      </c>
      <c r="H95" s="451" t="s">
        <v>14249</v>
      </c>
      <c r="I95" s="452" t="s">
        <v>1642</v>
      </c>
      <c r="J95" s="452" t="s">
        <v>15822</v>
      </c>
      <c r="K95" s="453" t="s">
        <v>14249</v>
      </c>
      <c r="L95" s="453" t="s">
        <v>14249</v>
      </c>
      <c r="M95" s="453" t="s">
        <v>14249</v>
      </c>
      <c r="N95" s="453" t="s">
        <v>14249</v>
      </c>
      <c r="O95" s="453" t="s">
        <v>14249</v>
      </c>
      <c r="P95" s="454" t="s">
        <v>14249</v>
      </c>
      <c r="Q95" s="455" t="s">
        <v>14249</v>
      </c>
      <c r="R95" s="217" t="str">
        <f ca="1">IF(ISERROR($V95),"",OFFSET('Smelter Look-up'!$C$4,$V95-4,0)&amp;"")</f>
        <v>Lingbao Jinyuan Tonghui Refinery Co., Ltd.</v>
      </c>
      <c r="S95" s="225" t="str">
        <f t="shared" ca="1" si="12"/>
        <v>CN</v>
      </c>
      <c r="T95" s="225" t="str">
        <f ca="1">IF(B95="","",IF(ISERROR(MATCH($J95,SorP!$B$1:$B$6230,0)),"",INDIRECT("'SorP'!$A$"&amp;MATCH($J95,SorP!$B$1:$B$6230,0))))</f>
        <v/>
      </c>
      <c r="U95" s="241"/>
      <c r="V95" s="275">
        <f>IF(C95="",NA(),MATCH($B95&amp;$C95,'Smelter Look-up'!$J:$J,0))</f>
        <v>141</v>
      </c>
      <c r="W95" s="276"/>
      <c r="X95" s="276">
        <f t="shared" si="13"/>
        <v>0</v>
      </c>
      <c r="Y95" s="276"/>
      <c r="Z95" s="276"/>
      <c r="AB95" s="278" t="str">
        <f t="shared" si="14"/>
        <v>GoldLingbao Jinyuan Tonghui Refinery Co., Ltd.</v>
      </c>
    </row>
    <row r="96" spans="1:28" s="277" customFormat="1" ht="37.15">
      <c r="A96" s="216" t="s">
        <v>791</v>
      </c>
      <c r="B96" s="217" t="s">
        <v>1154</v>
      </c>
      <c r="C96" s="450" t="s">
        <v>1350</v>
      </c>
      <c r="D96" s="217"/>
      <c r="E96" s="217" t="s">
        <v>1123</v>
      </c>
      <c r="F96" s="217" t="s">
        <v>791</v>
      </c>
      <c r="G96" s="217" t="s">
        <v>13577</v>
      </c>
      <c r="H96" s="451" t="s">
        <v>15823</v>
      </c>
      <c r="I96" s="452" t="s">
        <v>1814</v>
      </c>
      <c r="J96" s="452" t="s">
        <v>15612</v>
      </c>
      <c r="K96" s="453" t="s">
        <v>15824</v>
      </c>
      <c r="L96" s="453" t="s">
        <v>15825</v>
      </c>
      <c r="M96" s="453" t="s">
        <v>15826</v>
      </c>
      <c r="N96" s="453" t="s">
        <v>15827</v>
      </c>
      <c r="O96" s="453" t="s">
        <v>15609</v>
      </c>
      <c r="P96" s="454" t="s">
        <v>499</v>
      </c>
      <c r="Q96" s="455" t="s">
        <v>15513</v>
      </c>
      <c r="R96" s="217" t="str">
        <f ca="1">IF(ISERROR($V96),"",OFFSET('Smelter Look-up'!$C$4,$V96-4,0)&amp;"")</f>
        <v>China Tin Group Co., Ltd.</v>
      </c>
      <c r="S96" s="225" t="str">
        <f t="shared" ca="1" si="12"/>
        <v>CN</v>
      </c>
      <c r="T96" s="225" t="str">
        <f ca="1">IF(B96="","",IF(ISERROR(MATCH($J96,SorP!$B$1:$B$6230,0)),"",INDIRECT("'SorP'!$A$"&amp;MATCH($J96,SorP!$B$1:$B$6230,0))))</f>
        <v/>
      </c>
      <c r="U96" s="241"/>
      <c r="V96" s="275">
        <f>IF(C96="",NA(),MATCH($B96&amp;$C96,'Smelter Look-up'!$J:$J,0))</f>
        <v>367</v>
      </c>
      <c r="W96" s="276"/>
      <c r="X96" s="276">
        <f t="shared" si="13"/>
        <v>0</v>
      </c>
      <c r="Y96" s="276"/>
      <c r="Z96" s="276"/>
      <c r="AB96" s="278" t="str">
        <f t="shared" si="14"/>
        <v>TinChina Tin Group Co., Ltd.</v>
      </c>
    </row>
    <row r="97" spans="1:28" s="277" customFormat="1" ht="37.15">
      <c r="A97" s="216" t="s">
        <v>771</v>
      </c>
      <c r="B97" s="217" t="s">
        <v>1155</v>
      </c>
      <c r="C97" s="450" t="s">
        <v>49</v>
      </c>
      <c r="D97" s="217"/>
      <c r="E97" s="217" t="s">
        <v>1119</v>
      </c>
      <c r="F97" s="217" t="s">
        <v>771</v>
      </c>
      <c r="G97" s="217" t="s">
        <v>13577</v>
      </c>
      <c r="H97" s="451" t="s">
        <v>15828</v>
      </c>
      <c r="I97" s="452" t="s">
        <v>1757</v>
      </c>
      <c r="J97" s="452" t="s">
        <v>1577</v>
      </c>
      <c r="K97" s="453" t="s">
        <v>15829</v>
      </c>
      <c r="L97" s="453" t="s">
        <v>15830</v>
      </c>
      <c r="M97" s="453" t="s">
        <v>15831</v>
      </c>
      <c r="N97" s="453" t="s">
        <v>15511</v>
      </c>
      <c r="O97" s="453" t="s">
        <v>15771</v>
      </c>
      <c r="P97" s="454" t="s">
        <v>499</v>
      </c>
      <c r="Q97" s="455" t="s">
        <v>15513</v>
      </c>
      <c r="R97" s="217" t="str">
        <f ca="1">IF(ISERROR($V97),"",OFFSET('Smelter Look-up'!$C$4,$V97-4,0)&amp;"")</f>
        <v>LSM Brasil S.A.</v>
      </c>
      <c r="S97" s="225" t="str">
        <f t="shared" ca="1" si="12"/>
        <v>BR</v>
      </c>
      <c r="T97" s="225" t="str">
        <f ca="1">IF(B97="","",IF(ISERROR(MATCH($J97,SorP!$B$1:$B$6230,0)),"",INDIRECT("'SorP'!$A$"&amp;MATCH($J97,SorP!$B$1:$B$6230,0))))</f>
        <v>BR-MG</v>
      </c>
      <c r="U97" s="241"/>
      <c r="V97" s="275">
        <f>IF(C97="",NA(),MATCH($B97&amp;$C97,'Smelter Look-up'!$J:$J,0))</f>
        <v>321</v>
      </c>
      <c r="W97" s="276"/>
      <c r="X97" s="276">
        <f t="shared" si="13"/>
        <v>0</v>
      </c>
      <c r="Y97" s="276"/>
      <c r="Z97" s="276"/>
      <c r="AB97" s="278" t="str">
        <f t="shared" si="14"/>
        <v>TantalumLSM Brasil S.A.</v>
      </c>
    </row>
    <row r="98" spans="1:28" s="277" customFormat="1" ht="20.25">
      <c r="A98" s="216" t="s">
        <v>716</v>
      </c>
      <c r="B98" s="217" t="s">
        <v>1153</v>
      </c>
      <c r="C98" s="450" t="s">
        <v>58</v>
      </c>
      <c r="D98" s="217"/>
      <c r="E98" s="217" t="s">
        <v>1134</v>
      </c>
      <c r="F98" s="217" t="s">
        <v>716</v>
      </c>
      <c r="G98" s="217" t="s">
        <v>13577</v>
      </c>
      <c r="H98" s="451" t="s">
        <v>15832</v>
      </c>
      <c r="I98" s="452" t="s">
        <v>1643</v>
      </c>
      <c r="J98" s="452" t="s">
        <v>13198</v>
      </c>
      <c r="K98" s="453" t="s">
        <v>15833</v>
      </c>
      <c r="L98" s="453" t="s">
        <v>15834</v>
      </c>
      <c r="M98" s="453" t="s">
        <v>15797</v>
      </c>
      <c r="N98" s="453" t="s">
        <v>15835</v>
      </c>
      <c r="O98" s="453" t="s">
        <v>15836</v>
      </c>
      <c r="P98" s="454" t="s">
        <v>499</v>
      </c>
      <c r="Q98" s="455" t="s">
        <v>15513</v>
      </c>
      <c r="R98" s="217" t="str">
        <f ca="1">IF(ISERROR($V98),"",OFFSET('Smelter Look-up'!$C$4,$V98-4,0)&amp;"")</f>
        <v>LS-NIKKO Copper Inc.</v>
      </c>
      <c r="S98" s="225" t="str">
        <f t="shared" ca="1" si="12"/>
        <v>KR</v>
      </c>
      <c r="T98" s="225" t="str">
        <f ca="1">IF(B98="","",IF(ISERROR(MATCH($J98,SorP!$B$1:$B$6230,0)),"",INDIRECT("'SorP'!$A$"&amp;MATCH($J98,SorP!$B$1:$B$6230,0))))</f>
        <v>KR-31</v>
      </c>
      <c r="U98" s="241"/>
      <c r="V98" s="275">
        <f>IF(C98="",NA(),MATCH($B98&amp;$C98,'Smelter Look-up'!$J:$J,0))</f>
        <v>143</v>
      </c>
      <c r="W98" s="276"/>
      <c r="X98" s="276">
        <f t="shared" si="13"/>
        <v>0</v>
      </c>
      <c r="Y98" s="276"/>
      <c r="Z98" s="276"/>
      <c r="AB98" s="278" t="str">
        <f t="shared" si="14"/>
        <v>GoldLS-NIKKO Copper Inc.</v>
      </c>
    </row>
    <row r="99" spans="1:28" s="277" customFormat="1" ht="20.25">
      <c r="A99" s="216" t="s">
        <v>718</v>
      </c>
      <c r="B99" s="217" t="s">
        <v>1153</v>
      </c>
      <c r="C99" s="450" t="s">
        <v>1644</v>
      </c>
      <c r="D99" s="217"/>
      <c r="E99" s="217" t="s">
        <v>1123</v>
      </c>
      <c r="F99" s="217" t="s">
        <v>718</v>
      </c>
      <c r="G99" s="217" t="s">
        <v>13577</v>
      </c>
      <c r="H99" s="451" t="s">
        <v>14249</v>
      </c>
      <c r="I99" s="452" t="s">
        <v>1645</v>
      </c>
      <c r="J99" s="452" t="s">
        <v>15822</v>
      </c>
      <c r="K99" s="453" t="s">
        <v>14249</v>
      </c>
      <c r="L99" s="453" t="s">
        <v>14249</v>
      </c>
      <c r="M99" s="453" t="s">
        <v>14249</v>
      </c>
      <c r="N99" s="453" t="s">
        <v>14249</v>
      </c>
      <c r="O99" s="453" t="s">
        <v>14249</v>
      </c>
      <c r="P99" s="454" t="s">
        <v>14249</v>
      </c>
      <c r="Q99" s="455" t="s">
        <v>14249</v>
      </c>
      <c r="R99" s="217" t="str">
        <f ca="1">IF(ISERROR($V99),"",OFFSET('Smelter Look-up'!$C$4,$V99-4,0)&amp;"")</f>
        <v>Luoyang Zijin Yinhui Gold Refinery Co., Ltd.</v>
      </c>
      <c r="S99" s="225" t="str">
        <f t="shared" ca="1" si="12"/>
        <v>CN</v>
      </c>
      <c r="T99" s="225" t="str">
        <f ca="1">IF(B99="","",IF(ISERROR(MATCH($J99,SorP!$B$1:$B$6230,0)),"",INDIRECT("'SorP'!$A$"&amp;MATCH($J99,SorP!$B$1:$B$6230,0))))</f>
        <v/>
      </c>
      <c r="U99" s="241"/>
      <c r="V99" s="275">
        <f>IF(C99="",NA(),MATCH($B99&amp;$C99,'Smelter Look-up'!$J:$J,0))</f>
        <v>145</v>
      </c>
      <c r="W99" s="276"/>
      <c r="X99" s="276">
        <f t="shared" si="13"/>
        <v>0</v>
      </c>
      <c r="Y99" s="276"/>
      <c r="Z99" s="276"/>
      <c r="AB99" s="278" t="str">
        <f t="shared" si="14"/>
        <v>GoldLuoyang Zijin Yinhui Gold Refinery Co., Ltd.</v>
      </c>
    </row>
    <row r="100" spans="1:28" s="277" customFormat="1" ht="37.15">
      <c r="A100" s="216" t="s">
        <v>792</v>
      </c>
      <c r="B100" s="217" t="s">
        <v>1154</v>
      </c>
      <c r="C100" s="450" t="s">
        <v>844</v>
      </c>
      <c r="D100" s="217"/>
      <c r="E100" s="217" t="s">
        <v>1138</v>
      </c>
      <c r="F100" s="217" t="s">
        <v>792</v>
      </c>
      <c r="G100" s="217" t="s">
        <v>13577</v>
      </c>
      <c r="H100" s="451" t="s">
        <v>15837</v>
      </c>
      <c r="I100" s="452" t="s">
        <v>1819</v>
      </c>
      <c r="J100" s="452" t="s">
        <v>8983</v>
      </c>
      <c r="K100" s="453" t="s">
        <v>15838</v>
      </c>
      <c r="L100" s="453" t="s">
        <v>15839</v>
      </c>
      <c r="M100" s="453" t="s">
        <v>15840</v>
      </c>
      <c r="N100" s="453" t="s">
        <v>15841</v>
      </c>
      <c r="O100" s="453" t="s">
        <v>15842</v>
      </c>
      <c r="P100" s="454"/>
      <c r="Q100" s="455" t="s">
        <v>15513</v>
      </c>
      <c r="R100" s="217" t="str">
        <f ca="1">IF(ISERROR($V100),"",OFFSET('Smelter Look-up'!$C$4,$V100-4,0)&amp;"")</f>
        <v>Malaysia Smelting Corporation (MSC)</v>
      </c>
      <c r="S100" s="225" t="str">
        <f t="shared" ca="1" si="12"/>
        <v>MY</v>
      </c>
      <c r="T100" s="225" t="str">
        <f ca="1">IF(B100="","",IF(ISERROR(MATCH($J100,SorP!$B$1:$B$6230,0)),"",INDIRECT("'SorP'!$A$"&amp;MATCH($J100,SorP!$B$1:$B$6230,0))))</f>
        <v>MY-07</v>
      </c>
      <c r="U100" s="241"/>
      <c r="V100" s="275">
        <f>IF(C100="",NA(),MATCH($B100&amp;$C100,'Smelter Look-up'!$J:$J,0))</f>
        <v>414</v>
      </c>
      <c r="W100" s="276"/>
      <c r="X100" s="276">
        <f t="shared" si="13"/>
        <v>0</v>
      </c>
      <c r="Y100" s="276"/>
      <c r="Z100" s="276"/>
      <c r="AB100" s="278" t="str">
        <f t="shared" si="14"/>
        <v>TinMalaysia Smelting Corporation (MSC)</v>
      </c>
    </row>
    <row r="101" spans="1:28" s="277" customFormat="1" ht="24.75">
      <c r="A101" s="216" t="s">
        <v>719</v>
      </c>
      <c r="B101" s="217" t="s">
        <v>1153</v>
      </c>
      <c r="C101" s="450" t="s">
        <v>933</v>
      </c>
      <c r="D101" s="217"/>
      <c r="E101" s="217" t="s">
        <v>2576</v>
      </c>
      <c r="F101" s="217" t="s">
        <v>719</v>
      </c>
      <c r="G101" s="217" t="s">
        <v>13577</v>
      </c>
      <c r="H101" s="451" t="s">
        <v>15843</v>
      </c>
      <c r="I101" s="452" t="s">
        <v>1646</v>
      </c>
      <c r="J101" s="452" t="s">
        <v>1647</v>
      </c>
      <c r="K101" s="453" t="s">
        <v>15844</v>
      </c>
      <c r="L101" s="453" t="s">
        <v>15845</v>
      </c>
      <c r="M101" s="453" t="s">
        <v>15846</v>
      </c>
      <c r="N101" s="453" t="s">
        <v>15740</v>
      </c>
      <c r="O101" s="453" t="s">
        <v>15519</v>
      </c>
      <c r="P101" s="454" t="s">
        <v>498</v>
      </c>
      <c r="Q101" s="455" t="s">
        <v>15513</v>
      </c>
      <c r="R101" s="217" t="str">
        <f ca="1">IF(ISERROR($V101),"",OFFSET('Smelter Look-up'!$C$4,$V101-4,0)&amp;"")</f>
        <v>Materion</v>
      </c>
      <c r="S101" s="225" t="str">
        <f t="shared" ca="1" si="12"/>
        <v>US</v>
      </c>
      <c r="T101" s="225" t="str">
        <f ca="1">IF(B101="","",IF(ISERROR(MATCH($J101,SorP!$B$1:$B$6230,0)),"",INDIRECT("'SorP'!$A$"&amp;MATCH($J101,SorP!$B$1:$B$6230,0))))</f>
        <v>US-NY</v>
      </c>
      <c r="U101" s="241"/>
      <c r="V101" s="275">
        <f>IF(C101="",NA(),MATCH($B101&amp;$C101,'Smelter Look-up'!$J:$J,0))</f>
        <v>149</v>
      </c>
      <c r="W101" s="276"/>
      <c r="X101" s="276">
        <f t="shared" si="13"/>
        <v>0</v>
      </c>
      <c r="Y101" s="276"/>
      <c r="Z101" s="276"/>
      <c r="AB101" s="278" t="str">
        <f t="shared" si="14"/>
        <v>GoldMaterion</v>
      </c>
    </row>
    <row r="102" spans="1:28" s="277" customFormat="1" ht="49.5">
      <c r="A102" s="216" t="s">
        <v>720</v>
      </c>
      <c r="B102" s="217" t="s">
        <v>1153</v>
      </c>
      <c r="C102" s="450" t="s">
        <v>59</v>
      </c>
      <c r="D102" s="217"/>
      <c r="E102" s="217" t="s">
        <v>1131</v>
      </c>
      <c r="F102" s="217" t="s">
        <v>720</v>
      </c>
      <c r="G102" s="217" t="s">
        <v>13577</v>
      </c>
      <c r="H102" s="451" t="s">
        <v>15847</v>
      </c>
      <c r="I102" s="452" t="s">
        <v>1648</v>
      </c>
      <c r="J102" s="452" t="s">
        <v>1610</v>
      </c>
      <c r="K102" s="453" t="s">
        <v>15848</v>
      </c>
      <c r="L102" s="453" t="s">
        <v>15849</v>
      </c>
      <c r="M102" s="453" t="s">
        <v>15537</v>
      </c>
      <c r="N102" s="453" t="s">
        <v>15740</v>
      </c>
      <c r="O102" s="453" t="s">
        <v>15519</v>
      </c>
      <c r="P102" s="454" t="s">
        <v>498</v>
      </c>
      <c r="Q102" s="455" t="s">
        <v>15513</v>
      </c>
      <c r="R102" s="217" t="str">
        <f ca="1">IF(ISERROR($V102),"",OFFSET('Smelter Look-up'!$C$4,$V102-4,0)&amp;"")</f>
        <v>Matsuda Sangyo Co., Ltd.</v>
      </c>
      <c r="S102" s="225" t="str">
        <f t="shared" ref="S102:S132" ca="1" si="15">IF(B102="","",IF(ISERROR(MATCH($E102,CL,0)),"Unknown",INDIRECT("'C'!$A$"&amp;MATCH($E102,CL,0)+1)))</f>
        <v>JP</v>
      </c>
      <c r="T102" s="225" t="str">
        <f ca="1">IF(B102="","",IF(ISERROR(MATCH($J102,SorP!$B$1:$B$6230,0)),"",INDIRECT("'SorP'!$A$"&amp;MATCH($J102,SorP!$B$1:$B$6230,0))))</f>
        <v>JP-11</v>
      </c>
      <c r="U102" s="241"/>
      <c r="V102" s="275">
        <f>IF(C102="",NA(),MATCH($B102&amp;$C102,'Smelter Look-up'!$J:$J,0))</f>
        <v>150</v>
      </c>
      <c r="W102" s="276"/>
      <c r="X102" s="276">
        <f t="shared" ref="X102:X132" si="16">IF(AND(C102="Smelter not listed",OR(LEN(D102)=0,LEN(E102)=0)),1,0)</f>
        <v>0</v>
      </c>
      <c r="Y102" s="276"/>
      <c r="Z102" s="276"/>
      <c r="AB102" s="278" t="str">
        <f t="shared" ref="AB102:AB132" si="17">B102&amp;C102</f>
        <v>GoldMatsuda Sangyo Co., Ltd.</v>
      </c>
    </row>
    <row r="103" spans="1:28" s="277" customFormat="1" ht="37.15">
      <c r="A103" s="216" t="s">
        <v>1820</v>
      </c>
      <c r="B103" s="217" t="s">
        <v>1154</v>
      </c>
      <c r="C103" s="450" t="s">
        <v>2254</v>
      </c>
      <c r="D103" s="217"/>
      <c r="E103" s="217" t="s">
        <v>2576</v>
      </c>
      <c r="F103" s="217" t="s">
        <v>1820</v>
      </c>
      <c r="G103" s="217" t="s">
        <v>13577</v>
      </c>
      <c r="H103" s="451" t="s">
        <v>15850</v>
      </c>
      <c r="I103" s="452" t="s">
        <v>1821</v>
      </c>
      <c r="J103" s="452" t="s">
        <v>1666</v>
      </c>
      <c r="K103" s="453" t="s">
        <v>15851</v>
      </c>
      <c r="L103" s="453" t="s">
        <v>15852</v>
      </c>
      <c r="M103" s="453" t="s">
        <v>15554</v>
      </c>
      <c r="N103" s="453" t="s">
        <v>15542</v>
      </c>
      <c r="O103" s="453" t="s">
        <v>15555</v>
      </c>
      <c r="P103" s="454" t="s">
        <v>499</v>
      </c>
      <c r="Q103" s="455" t="s">
        <v>15513</v>
      </c>
      <c r="R103" s="217" t="str">
        <f ca="1">IF(ISERROR($V103),"",OFFSET('Smelter Look-up'!$C$4,$V103-4,0)&amp;"")</f>
        <v>Metallic Resources, Inc.</v>
      </c>
      <c r="S103" s="225" t="str">
        <f t="shared" ca="1" si="15"/>
        <v>US</v>
      </c>
      <c r="T103" s="225" t="str">
        <f ca="1">IF(B103="","",IF(ISERROR(MATCH($J103,SorP!$B$1:$B$6230,0)),"",INDIRECT("'SorP'!$A$"&amp;MATCH($J103,SorP!$B$1:$B$6230,0))))</f>
        <v>US-OH</v>
      </c>
      <c r="U103" s="241"/>
      <c r="V103" s="275">
        <f>IF(C103="",NA(),MATCH($B103&amp;$C103,'Smelter Look-up'!$J:$J,0))</f>
        <v>418</v>
      </c>
      <c r="W103" s="276"/>
      <c r="X103" s="276">
        <f t="shared" si="16"/>
        <v>0</v>
      </c>
      <c r="Y103" s="276"/>
      <c r="Z103" s="276"/>
      <c r="AB103" s="278" t="str">
        <f t="shared" si="17"/>
        <v>TinMetallic Resources, Inc.</v>
      </c>
    </row>
    <row r="104" spans="1:28" s="277" customFormat="1" ht="49.5">
      <c r="A104" s="216" t="s">
        <v>1650</v>
      </c>
      <c r="B104" s="217" t="s">
        <v>1153</v>
      </c>
      <c r="C104" s="450" t="s">
        <v>1649</v>
      </c>
      <c r="D104" s="217"/>
      <c r="E104" s="217" t="s">
        <v>1123</v>
      </c>
      <c r="F104" s="217" t="s">
        <v>1650</v>
      </c>
      <c r="G104" s="217" t="s">
        <v>13577</v>
      </c>
      <c r="H104" s="451" t="s">
        <v>15853</v>
      </c>
      <c r="I104" s="452" t="s">
        <v>2659</v>
      </c>
      <c r="J104" s="452" t="s">
        <v>15854</v>
      </c>
      <c r="K104" s="453" t="s">
        <v>15855</v>
      </c>
      <c r="L104" s="453" t="s">
        <v>15856</v>
      </c>
      <c r="M104" s="453" t="s">
        <v>15857</v>
      </c>
      <c r="N104" s="453" t="s">
        <v>15542</v>
      </c>
      <c r="O104" s="453" t="s">
        <v>15858</v>
      </c>
      <c r="P104" s="454" t="s">
        <v>499</v>
      </c>
      <c r="Q104" s="455" t="s">
        <v>15513</v>
      </c>
      <c r="R104" s="217" t="str">
        <f ca="1">IF(ISERROR($V104),"",OFFSET('Smelter Look-up'!$C$4,$V104-4,0)&amp;"")</f>
        <v>Metalor Technologies (Suzhou) Ltd.</v>
      </c>
      <c r="S104" s="225" t="str">
        <f t="shared" ca="1" si="15"/>
        <v>CN</v>
      </c>
      <c r="T104" s="225" t="str">
        <f ca="1">IF(B104="","",IF(ISERROR(MATCH($J104,SorP!$B$1:$B$6230,0)),"",INDIRECT("'SorP'!$A$"&amp;MATCH($J104,SorP!$B$1:$B$6230,0))))</f>
        <v/>
      </c>
      <c r="U104" s="241"/>
      <c r="V104" s="275">
        <f>IF(C104="",NA(),MATCH($B104&amp;$C104,'Smelter Look-up'!$J:$J,0))</f>
        <v>157</v>
      </c>
      <c r="W104" s="276"/>
      <c r="X104" s="276">
        <f t="shared" si="16"/>
        <v>0</v>
      </c>
      <c r="Y104" s="276"/>
      <c r="Z104" s="276"/>
      <c r="AB104" s="278" t="str">
        <f t="shared" si="17"/>
        <v>GoldMetalor Technologies (Suzhou) Ltd.</v>
      </c>
    </row>
    <row r="105" spans="1:28" s="277" customFormat="1" ht="24.75">
      <c r="A105" s="216" t="s">
        <v>721</v>
      </c>
      <c r="B105" s="217" t="s">
        <v>1153</v>
      </c>
      <c r="C105" s="450" t="s">
        <v>2255</v>
      </c>
      <c r="D105" s="217"/>
      <c r="E105" s="217" t="s">
        <v>1123</v>
      </c>
      <c r="F105" s="217" t="s">
        <v>721</v>
      </c>
      <c r="G105" s="217" t="s">
        <v>13577</v>
      </c>
      <c r="H105" s="451" t="s">
        <v>15859</v>
      </c>
      <c r="I105" s="452" t="s">
        <v>1651</v>
      </c>
      <c r="J105" s="452" t="s">
        <v>15733</v>
      </c>
      <c r="K105" s="453" t="s">
        <v>15860</v>
      </c>
      <c r="L105" s="453" t="s">
        <v>15861</v>
      </c>
      <c r="M105" s="453" t="s">
        <v>15862</v>
      </c>
      <c r="N105" s="453" t="s">
        <v>15863</v>
      </c>
      <c r="O105" s="453" t="s">
        <v>15864</v>
      </c>
      <c r="P105" s="454" t="s">
        <v>499</v>
      </c>
      <c r="Q105" s="455" t="s">
        <v>15513</v>
      </c>
      <c r="R105" s="217" t="str">
        <f ca="1">IF(ISERROR($V105),"",OFFSET('Smelter Look-up'!$C$4,$V105-4,0)&amp;"")</f>
        <v>Metalor Technologies (Hong Kong) Ltd.</v>
      </c>
      <c r="S105" s="225" t="str">
        <f t="shared" ca="1" si="15"/>
        <v>CN</v>
      </c>
      <c r="T105" s="225" t="str">
        <f ca="1">IF(B105="","",IF(ISERROR(MATCH($J105,SorP!$B$1:$B$6230,0)),"",INDIRECT("'SorP'!$A$"&amp;MATCH($J105,SorP!$B$1:$B$6230,0))))</f>
        <v/>
      </c>
      <c r="U105" s="241"/>
      <c r="V105" s="275">
        <f>IF(C105="",NA(),MATCH($B105&amp;$C105,'Smelter Look-up'!$J:$J,0))</f>
        <v>155</v>
      </c>
      <c r="W105" s="276"/>
      <c r="X105" s="276">
        <f t="shared" si="16"/>
        <v>0</v>
      </c>
      <c r="Y105" s="276"/>
      <c r="Z105" s="276"/>
      <c r="AB105" s="278" t="str">
        <f t="shared" si="17"/>
        <v>GoldMetalor Technologies (Hong Kong) Ltd.</v>
      </c>
    </row>
    <row r="106" spans="1:28" s="277" customFormat="1" ht="24.75">
      <c r="A106" s="216" t="s">
        <v>722</v>
      </c>
      <c r="B106" s="217" t="s">
        <v>1153</v>
      </c>
      <c r="C106" s="450" t="s">
        <v>2256</v>
      </c>
      <c r="D106" s="217"/>
      <c r="E106" s="217" t="s">
        <v>909</v>
      </c>
      <c r="F106" s="217" t="s">
        <v>722</v>
      </c>
      <c r="G106" s="217" t="s">
        <v>13577</v>
      </c>
      <c r="H106" s="451" t="s">
        <v>15865</v>
      </c>
      <c r="I106" s="452" t="s">
        <v>13053</v>
      </c>
      <c r="J106" s="452" t="s">
        <v>10620</v>
      </c>
      <c r="K106" s="453" t="s">
        <v>15860</v>
      </c>
      <c r="L106" s="453" t="s">
        <v>15861</v>
      </c>
      <c r="M106" s="453" t="s">
        <v>15866</v>
      </c>
      <c r="N106" s="453" t="s">
        <v>15863</v>
      </c>
      <c r="O106" s="453" t="s">
        <v>15867</v>
      </c>
      <c r="P106" s="454" t="s">
        <v>499</v>
      </c>
      <c r="Q106" s="455" t="s">
        <v>15513</v>
      </c>
      <c r="R106" s="217" t="str">
        <f ca="1">IF(ISERROR($V106),"",OFFSET('Smelter Look-up'!$C$4,$V106-4,0)&amp;"")</f>
        <v>Metalor Technologies (Singapore) Pte., Ltd.</v>
      </c>
      <c r="S106" s="225" t="str">
        <f t="shared" ca="1" si="15"/>
        <v>SG</v>
      </c>
      <c r="T106" s="225" t="str">
        <f ca="1">IF(B106="","",IF(ISERROR(MATCH($J106,SorP!$B$1:$B$6230,0)),"",INDIRECT("'SorP'!$A$"&amp;MATCH($J106,SorP!$B$1:$B$6230,0))))</f>
        <v>SG-05</v>
      </c>
      <c r="U106" s="241"/>
      <c r="V106" s="275">
        <f>IF(C106="",NA(),MATCH($B106&amp;$C106,'Smelter Look-up'!$J:$J,0))</f>
        <v>156</v>
      </c>
      <c r="W106" s="276"/>
      <c r="X106" s="276">
        <f t="shared" si="16"/>
        <v>0</v>
      </c>
      <c r="Y106" s="276"/>
      <c r="Z106" s="276"/>
      <c r="AB106" s="278" t="str">
        <f t="shared" si="17"/>
        <v>GoldMetalor Technologies (Singapore) Pte., Ltd.</v>
      </c>
    </row>
    <row r="107" spans="1:28" s="277" customFormat="1" ht="24.75">
      <c r="A107" s="216" t="s">
        <v>723</v>
      </c>
      <c r="B107" s="217" t="s">
        <v>1153</v>
      </c>
      <c r="C107" s="450" t="s">
        <v>2431</v>
      </c>
      <c r="D107" s="217"/>
      <c r="E107" s="217" t="s">
        <v>1121</v>
      </c>
      <c r="F107" s="217" t="s">
        <v>723</v>
      </c>
      <c r="G107" s="217" t="s">
        <v>13577</v>
      </c>
      <c r="H107" s="451" t="s">
        <v>15868</v>
      </c>
      <c r="I107" s="452" t="s">
        <v>1652</v>
      </c>
      <c r="J107" s="452" t="s">
        <v>1653</v>
      </c>
      <c r="K107" s="453" t="s">
        <v>15869</v>
      </c>
      <c r="L107" s="453" t="s">
        <v>15870</v>
      </c>
      <c r="M107" s="453" t="s">
        <v>15871</v>
      </c>
      <c r="N107" s="453" t="s">
        <v>15863</v>
      </c>
      <c r="O107" s="453" t="s">
        <v>15872</v>
      </c>
      <c r="P107" s="454" t="s">
        <v>499</v>
      </c>
      <c r="Q107" s="455" t="s">
        <v>15513</v>
      </c>
      <c r="R107" s="217" t="str">
        <f ca="1">IF(ISERROR($V107),"",OFFSET('Smelter Look-up'!$C$4,$V107-4,0)&amp;"")</f>
        <v>Metalor Technologies S.A.</v>
      </c>
      <c r="S107" s="225" t="str">
        <f t="shared" ca="1" si="15"/>
        <v>CH</v>
      </c>
      <c r="T107" s="225" t="str">
        <f ca="1">IF(B107="","",IF(ISERROR(MATCH($J107,SorP!$B$1:$B$6230,0)),"",INDIRECT("'SorP'!$A$"&amp;MATCH($J107,SorP!$B$1:$B$6230,0))))</f>
        <v>CH-NE</v>
      </c>
      <c r="U107" s="241"/>
      <c r="V107" s="275">
        <f>IF(C107="",NA(),MATCH($B107&amp;$C107,'Smelter Look-up'!$J:$J,0))</f>
        <v>158</v>
      </c>
      <c r="W107" s="276"/>
      <c r="X107" s="276">
        <f t="shared" si="16"/>
        <v>0</v>
      </c>
      <c r="Y107" s="276"/>
      <c r="Z107" s="276"/>
      <c r="AB107" s="278" t="str">
        <f t="shared" si="17"/>
        <v>GoldMetalor Technologies S.A.</v>
      </c>
    </row>
    <row r="108" spans="1:28" s="277" customFormat="1" ht="24.75">
      <c r="A108" s="216" t="s">
        <v>724</v>
      </c>
      <c r="B108" s="217" t="s">
        <v>1153</v>
      </c>
      <c r="C108" s="450" t="s">
        <v>1252</v>
      </c>
      <c r="D108" s="217"/>
      <c r="E108" s="217" t="s">
        <v>2576</v>
      </c>
      <c r="F108" s="217" t="s">
        <v>724</v>
      </c>
      <c r="G108" s="217" t="s">
        <v>13577</v>
      </c>
      <c r="H108" s="451" t="s">
        <v>15873</v>
      </c>
      <c r="I108" s="452" t="s">
        <v>1654</v>
      </c>
      <c r="J108" s="452" t="s">
        <v>1655</v>
      </c>
      <c r="K108" s="453" t="s">
        <v>15860</v>
      </c>
      <c r="L108" s="453" t="s">
        <v>15861</v>
      </c>
      <c r="M108" s="453" t="s">
        <v>15874</v>
      </c>
      <c r="N108" s="453" t="s">
        <v>15542</v>
      </c>
      <c r="O108" s="453" t="s">
        <v>15814</v>
      </c>
      <c r="P108" s="454" t="s">
        <v>499</v>
      </c>
      <c r="Q108" s="455" t="s">
        <v>15513</v>
      </c>
      <c r="R108" s="217" t="str">
        <f ca="1">IF(ISERROR($V108),"",OFFSET('Smelter Look-up'!$C$4,$V108-4,0)&amp;"")</f>
        <v>Metalor USA Refining Corporation</v>
      </c>
      <c r="S108" s="225" t="str">
        <f t="shared" ca="1" si="15"/>
        <v>US</v>
      </c>
      <c r="T108" s="225" t="str">
        <f ca="1">IF(B108="","",IF(ISERROR(MATCH($J108,SorP!$B$1:$B$6230,0)),"",INDIRECT("'SorP'!$A$"&amp;MATCH($J108,SorP!$B$1:$B$6230,0))))</f>
        <v>US-MA</v>
      </c>
      <c r="U108" s="241"/>
      <c r="V108" s="275">
        <f>IF(C108="",NA(),MATCH($B108&amp;$C108,'Smelter Look-up'!$J:$J,0))</f>
        <v>159</v>
      </c>
      <c r="W108" s="276"/>
      <c r="X108" s="276">
        <f t="shared" si="16"/>
        <v>0</v>
      </c>
      <c r="Y108" s="276"/>
      <c r="Z108" s="276"/>
      <c r="AB108" s="278" t="str">
        <f t="shared" si="17"/>
        <v>GoldMetalor USA Refining Corporation</v>
      </c>
    </row>
    <row r="109" spans="1:28" s="277" customFormat="1" ht="24.75">
      <c r="A109" s="216" t="s">
        <v>725</v>
      </c>
      <c r="B109" s="217" t="s">
        <v>1153</v>
      </c>
      <c r="C109" s="450" t="s">
        <v>12756</v>
      </c>
      <c r="D109" s="217"/>
      <c r="E109" s="217" t="s">
        <v>1136</v>
      </c>
      <c r="F109" s="217" t="s">
        <v>725</v>
      </c>
      <c r="G109" s="217" t="s">
        <v>13577</v>
      </c>
      <c r="H109" s="451" t="s">
        <v>15875</v>
      </c>
      <c r="I109" s="452" t="s">
        <v>1656</v>
      </c>
      <c r="J109" s="452" t="s">
        <v>13216</v>
      </c>
      <c r="K109" s="453" t="s">
        <v>15876</v>
      </c>
      <c r="L109" s="453" t="s">
        <v>15877</v>
      </c>
      <c r="M109" s="453" t="s">
        <v>15878</v>
      </c>
      <c r="N109" s="453" t="s">
        <v>15511</v>
      </c>
      <c r="O109" s="453" t="s">
        <v>15533</v>
      </c>
      <c r="P109" s="454"/>
      <c r="Q109" s="455" t="s">
        <v>15513</v>
      </c>
      <c r="R109" s="217" t="str">
        <f ca="1">IF(ISERROR($V109),"",OFFSET('Smelter Look-up'!$C$4,$V109-4,0)&amp;"")</f>
        <v>Metalurgica Met-Mex Penoles S.A. De C.V.</v>
      </c>
      <c r="S109" s="225" t="str">
        <f t="shared" ca="1" si="15"/>
        <v>MX</v>
      </c>
      <c r="T109" s="225" t="str">
        <f ca="1">IF(B109="","",IF(ISERROR(MATCH($J109,SorP!$B$1:$B$6230,0)),"",INDIRECT("'SorP'!$A$"&amp;MATCH($J109,SorP!$B$1:$B$6230,0))))</f>
        <v>MX-COA</v>
      </c>
      <c r="U109" s="241"/>
      <c r="V109" s="275">
        <f>IF(C109="",NA(),MATCH($B109&amp;$C109,'Smelter Look-up'!$J:$J,0))</f>
        <v>160</v>
      </c>
      <c r="W109" s="276"/>
      <c r="X109" s="276">
        <f t="shared" si="16"/>
        <v>0</v>
      </c>
      <c r="Y109" s="276"/>
      <c r="Z109" s="276"/>
      <c r="AB109" s="278" t="str">
        <f t="shared" si="17"/>
        <v>GoldMetalurgica Met-Mex Penoles S.A. De C.V.</v>
      </c>
    </row>
    <row r="110" spans="1:28" s="277" customFormat="1" ht="49.5">
      <c r="A110" s="216" t="s">
        <v>772</v>
      </c>
      <c r="B110" s="217" t="s">
        <v>1155</v>
      </c>
      <c r="C110" s="450" t="s">
        <v>2257</v>
      </c>
      <c r="D110" s="217"/>
      <c r="E110" s="217" t="s">
        <v>1129</v>
      </c>
      <c r="F110" s="217" t="s">
        <v>772</v>
      </c>
      <c r="G110" s="217" t="s">
        <v>13577</v>
      </c>
      <c r="H110" s="451" t="s">
        <v>15879</v>
      </c>
      <c r="I110" s="452" t="s">
        <v>1758</v>
      </c>
      <c r="J110" s="452" t="s">
        <v>1759</v>
      </c>
      <c r="K110" s="453" t="s">
        <v>15880</v>
      </c>
      <c r="L110" s="453" t="s">
        <v>15881</v>
      </c>
      <c r="M110" s="453" t="s">
        <v>15554</v>
      </c>
      <c r="N110" s="453" t="s">
        <v>15542</v>
      </c>
      <c r="O110" s="453" t="s">
        <v>15882</v>
      </c>
      <c r="P110" s="454" t="s">
        <v>499</v>
      </c>
      <c r="Q110" s="455" t="s">
        <v>15520</v>
      </c>
      <c r="R110" s="217" t="str">
        <f ca="1">IF(ISERROR($V110),"",OFFSET('Smelter Look-up'!$C$4,$V110-4,0)&amp;"")</f>
        <v>Metallurgical Products India Pvt., Ltd.</v>
      </c>
      <c r="S110" s="225" t="str">
        <f t="shared" ca="1" si="15"/>
        <v>IN</v>
      </c>
      <c r="T110" s="225" t="str">
        <f ca="1">IF(B110="","",IF(ISERROR(MATCH($J110,SorP!$B$1:$B$6230,0)),"",INDIRECT("'SorP'!$A$"&amp;MATCH($J110,SorP!$B$1:$B$6230,0))))</f>
        <v>IN-MH</v>
      </c>
      <c r="U110" s="241"/>
      <c r="V110" s="275">
        <f>IF(C110="",NA(),MATCH($B110&amp;$C110,'Smelter Look-up'!$J:$J,0))</f>
        <v>323</v>
      </c>
      <c r="W110" s="276"/>
      <c r="X110" s="276">
        <f t="shared" si="16"/>
        <v>0</v>
      </c>
      <c r="Y110" s="276"/>
      <c r="Z110" s="276"/>
      <c r="AB110" s="278" t="str">
        <f t="shared" si="17"/>
        <v>TantalumMetallurgical Products India Pvt., Ltd.</v>
      </c>
    </row>
    <row r="111" spans="1:28" s="277" customFormat="1" ht="49.5">
      <c r="A111" s="216" t="s">
        <v>793</v>
      </c>
      <c r="B111" s="217" t="s">
        <v>1154</v>
      </c>
      <c r="C111" s="450" t="s">
        <v>12757</v>
      </c>
      <c r="D111" s="217"/>
      <c r="E111" s="217" t="s">
        <v>1119</v>
      </c>
      <c r="F111" s="217" t="s">
        <v>793</v>
      </c>
      <c r="G111" s="217" t="s">
        <v>13577</v>
      </c>
      <c r="H111" s="451" t="s">
        <v>15883</v>
      </c>
      <c r="I111" s="452" t="s">
        <v>1822</v>
      </c>
      <c r="J111" s="452" t="s">
        <v>1708</v>
      </c>
      <c r="K111" s="453" t="s">
        <v>15884</v>
      </c>
      <c r="L111" s="453" t="s">
        <v>15885</v>
      </c>
      <c r="M111" s="453" t="s">
        <v>15686</v>
      </c>
      <c r="N111" s="453" t="s">
        <v>15886</v>
      </c>
      <c r="O111" s="453" t="s">
        <v>15887</v>
      </c>
      <c r="P111" s="454" t="s">
        <v>499</v>
      </c>
      <c r="Q111" s="455" t="s">
        <v>15513</v>
      </c>
      <c r="R111" s="217" t="str">
        <f ca="1">IF(ISERROR($V111),"",OFFSET('Smelter Look-up'!$C$4,$V111-4,0)&amp;"")</f>
        <v>Mineracao Taboca S.A.</v>
      </c>
      <c r="S111" s="225" t="str">
        <f t="shared" ca="1" si="15"/>
        <v>BR</v>
      </c>
      <c r="T111" s="225" t="str">
        <f ca="1">IF(B111="","",IF(ISERROR(MATCH($J111,SorP!$B$1:$B$6230,0)),"",INDIRECT("'SorP'!$A$"&amp;MATCH($J111,SorP!$B$1:$B$6230,0))))</f>
        <v>BR-SP</v>
      </c>
      <c r="U111" s="241"/>
      <c r="V111" s="275">
        <f>IF(C111="",NA(),MATCH($B111&amp;$C111,'Smelter Look-up'!$J:$J,0))</f>
        <v>421</v>
      </c>
      <c r="W111" s="276"/>
      <c r="X111" s="276">
        <f t="shared" si="16"/>
        <v>0</v>
      </c>
      <c r="Y111" s="276"/>
      <c r="Z111" s="276"/>
      <c r="AB111" s="278" t="str">
        <f t="shared" si="17"/>
        <v>TinMineracao Taboca S.A.</v>
      </c>
    </row>
    <row r="112" spans="1:28" s="277" customFormat="1" ht="24.75">
      <c r="A112" s="216" t="s">
        <v>773</v>
      </c>
      <c r="B112" s="217" t="s">
        <v>1155</v>
      </c>
      <c r="C112" s="450" t="s">
        <v>12757</v>
      </c>
      <c r="D112" s="217"/>
      <c r="E112" s="217" t="s">
        <v>1119</v>
      </c>
      <c r="F112" s="217" t="s">
        <v>773</v>
      </c>
      <c r="G112" s="217" t="s">
        <v>13577</v>
      </c>
      <c r="H112" s="451" t="s">
        <v>15888</v>
      </c>
      <c r="I112" s="452" t="s">
        <v>1761</v>
      </c>
      <c r="J112" s="452" t="s">
        <v>1762</v>
      </c>
      <c r="K112" s="453" t="s">
        <v>15884</v>
      </c>
      <c r="L112" s="453" t="s">
        <v>15885</v>
      </c>
      <c r="M112" s="453" t="s">
        <v>15889</v>
      </c>
      <c r="N112" s="453" t="s">
        <v>15511</v>
      </c>
      <c r="O112" s="453" t="s">
        <v>15807</v>
      </c>
      <c r="P112" s="454"/>
      <c r="Q112" s="455" t="s">
        <v>15513</v>
      </c>
      <c r="R112" s="217" t="str">
        <f ca="1">IF(ISERROR($V112),"",OFFSET('Smelter Look-up'!$C$4,$V112-4,0)&amp;"")</f>
        <v>Mineracao Taboca S.A.</v>
      </c>
      <c r="S112" s="225" t="str">
        <f t="shared" ca="1" si="15"/>
        <v>BR</v>
      </c>
      <c r="T112" s="225" t="str">
        <f ca="1">IF(B112="","",IF(ISERROR(MATCH($J112,SorP!$B$1:$B$6230,0)),"",INDIRECT("'SorP'!$A$"&amp;MATCH($J112,SorP!$B$1:$B$6230,0))))</f>
        <v>BR-AM</v>
      </c>
      <c r="U112" s="241"/>
      <c r="V112" s="275">
        <f>IF(C112="",NA(),MATCH($B112&amp;$C112,'Smelter Look-up'!$J:$J,0))</f>
        <v>324</v>
      </c>
      <c r="W112" s="276"/>
      <c r="X112" s="276">
        <f t="shared" si="16"/>
        <v>0</v>
      </c>
      <c r="Y112" s="276"/>
      <c r="Z112" s="276"/>
      <c r="AB112" s="278" t="str">
        <f t="shared" si="17"/>
        <v>TantalumMineracao Taboca S.A.</v>
      </c>
    </row>
    <row r="113" spans="1:28" s="277" customFormat="1" ht="24.75">
      <c r="A113" s="216" t="s">
        <v>794</v>
      </c>
      <c r="B113" s="217" t="s">
        <v>1154</v>
      </c>
      <c r="C113" s="450" t="s">
        <v>1057</v>
      </c>
      <c r="D113" s="217"/>
      <c r="E113" s="217" t="s">
        <v>903</v>
      </c>
      <c r="F113" s="217" t="s">
        <v>794</v>
      </c>
      <c r="G113" s="217" t="s">
        <v>13577</v>
      </c>
      <c r="H113" s="451" t="s">
        <v>15890</v>
      </c>
      <c r="I113" s="452" t="s">
        <v>1824</v>
      </c>
      <c r="J113" s="452" t="s">
        <v>9438</v>
      </c>
      <c r="K113" s="453" t="s">
        <v>15891</v>
      </c>
      <c r="L113" s="453" t="s">
        <v>15892</v>
      </c>
      <c r="M113" s="453" t="s">
        <v>15554</v>
      </c>
      <c r="N113" s="453" t="s">
        <v>15893</v>
      </c>
      <c r="O113" s="453" t="s">
        <v>15894</v>
      </c>
      <c r="P113" s="454" t="s">
        <v>499</v>
      </c>
      <c r="Q113" s="455" t="s">
        <v>15513</v>
      </c>
      <c r="R113" s="217" t="str">
        <f ca="1">IF(ISERROR($V113),"",OFFSET('Smelter Look-up'!$C$4,$V113-4,0)&amp;"")</f>
        <v>Minsur</v>
      </c>
      <c r="S113" s="225" t="str">
        <f t="shared" ca="1" si="15"/>
        <v>PE</v>
      </c>
      <c r="T113" s="225" t="str">
        <f ca="1">IF(B113="","",IF(ISERROR(MATCH($J113,SorP!$B$1:$B$6230,0)),"",INDIRECT("'SorP'!$A$"&amp;MATCH($J113,SorP!$B$1:$B$6230,0))))</f>
        <v>PE-ICA</v>
      </c>
      <c r="U113" s="241"/>
      <c r="V113" s="275">
        <f>IF(C113="",NA(),MATCH($B113&amp;$C113,'Smelter Look-up'!$J:$J,0))</f>
        <v>424</v>
      </c>
      <c r="W113" s="276"/>
      <c r="X113" s="276">
        <f t="shared" si="16"/>
        <v>0</v>
      </c>
      <c r="Y113" s="276"/>
      <c r="Z113" s="276"/>
      <c r="AB113" s="278" t="str">
        <f t="shared" si="17"/>
        <v>TinMinsur</v>
      </c>
    </row>
    <row r="114" spans="1:28" s="277" customFormat="1" ht="61.9">
      <c r="A114" s="216" t="s">
        <v>726</v>
      </c>
      <c r="B114" s="217" t="s">
        <v>1153</v>
      </c>
      <c r="C114" s="450" t="s">
        <v>1187</v>
      </c>
      <c r="D114" s="217"/>
      <c r="E114" s="217" t="s">
        <v>1131</v>
      </c>
      <c r="F114" s="217" t="s">
        <v>726</v>
      </c>
      <c r="G114" s="217" t="s">
        <v>13577</v>
      </c>
      <c r="H114" s="451" t="s">
        <v>15895</v>
      </c>
      <c r="I114" s="452" t="s">
        <v>1657</v>
      </c>
      <c r="J114" s="452" t="s">
        <v>2322</v>
      </c>
      <c r="K114" s="453" t="s">
        <v>15896</v>
      </c>
      <c r="L114" s="453" t="s">
        <v>15897</v>
      </c>
      <c r="M114" s="453" t="s">
        <v>15537</v>
      </c>
      <c r="N114" s="453" t="s">
        <v>15898</v>
      </c>
      <c r="O114" s="453" t="s">
        <v>15899</v>
      </c>
      <c r="P114" s="454" t="s">
        <v>499</v>
      </c>
      <c r="Q114" s="455" t="s">
        <v>15513</v>
      </c>
      <c r="R114" s="217" t="str">
        <f ca="1">IF(ISERROR($V114),"",OFFSET('Smelter Look-up'!$C$4,$V114-4,0)&amp;"")</f>
        <v>Mitsubishi Materials Corporation</v>
      </c>
      <c r="S114" s="225" t="str">
        <f t="shared" ca="1" si="15"/>
        <v>JP</v>
      </c>
      <c r="T114" s="225" t="str">
        <f ca="1">IF(B114="","",IF(ISERROR(MATCH($J114,SorP!$B$1:$B$6230,0)),"",INDIRECT("'SorP'!$A$"&amp;MATCH($J114,SorP!$B$1:$B$6230,0))))</f>
        <v>JP-37</v>
      </c>
      <c r="U114" s="241"/>
      <c r="V114" s="275">
        <f>IF(C114="",NA(),MATCH($B114&amp;$C114,'Smelter Look-up'!$J:$J,0))</f>
        <v>164</v>
      </c>
      <c r="W114" s="276"/>
      <c r="X114" s="276">
        <f t="shared" si="16"/>
        <v>0</v>
      </c>
      <c r="Y114" s="276"/>
      <c r="Z114" s="276"/>
      <c r="AB114" s="278" t="str">
        <f t="shared" si="17"/>
        <v>GoldMitsubishi Materials Corporation</v>
      </c>
    </row>
    <row r="115" spans="1:28" s="277" customFormat="1" ht="37.15">
      <c r="A115" s="216" t="s">
        <v>795</v>
      </c>
      <c r="B115" s="217" t="s">
        <v>1154</v>
      </c>
      <c r="C115" s="450" t="s">
        <v>1187</v>
      </c>
      <c r="D115" s="217"/>
      <c r="E115" s="217" t="s">
        <v>1131</v>
      </c>
      <c r="F115" s="217" t="s">
        <v>795</v>
      </c>
      <c r="G115" s="217" t="s">
        <v>13577</v>
      </c>
      <c r="H115" s="451" t="s">
        <v>15900</v>
      </c>
      <c r="I115" s="452" t="s">
        <v>1827</v>
      </c>
      <c r="J115" s="452" t="s">
        <v>1581</v>
      </c>
      <c r="K115" s="453" t="s">
        <v>15896</v>
      </c>
      <c r="L115" s="453" t="s">
        <v>15897</v>
      </c>
      <c r="M115" s="453" t="s">
        <v>15901</v>
      </c>
      <c r="N115" s="453" t="s">
        <v>15740</v>
      </c>
      <c r="O115" s="453" t="s">
        <v>15519</v>
      </c>
      <c r="P115" s="454" t="s">
        <v>498</v>
      </c>
      <c r="Q115" s="455" t="s">
        <v>15513</v>
      </c>
      <c r="R115" s="217" t="str">
        <f ca="1">IF(ISERROR($V115),"",OFFSET('Smelter Look-up'!$C$4,$V115-4,0)&amp;"")</f>
        <v>Mitsubishi Materials Corporation</v>
      </c>
      <c r="S115" s="225" t="str">
        <f t="shared" ca="1" si="15"/>
        <v>JP</v>
      </c>
      <c r="T115" s="225" t="str">
        <f ca="1">IF(B115="","",IF(ISERROR(MATCH($J115,SorP!$B$1:$B$6230,0)),"",INDIRECT("'SorP'!$A$"&amp;MATCH($J115,SorP!$B$1:$B$6230,0))))</f>
        <v>JP-28</v>
      </c>
      <c r="U115" s="241"/>
      <c r="V115" s="275">
        <f>IF(C115="",NA(),MATCH($B115&amp;$C115,'Smelter Look-up'!$J:$J,0))</f>
        <v>425</v>
      </c>
      <c r="W115" s="276"/>
      <c r="X115" s="276">
        <f t="shared" si="16"/>
        <v>0</v>
      </c>
      <c r="Y115" s="276"/>
      <c r="Z115" s="276"/>
      <c r="AB115" s="278" t="str">
        <f t="shared" si="17"/>
        <v>TinMitsubishi Materials Corporation</v>
      </c>
    </row>
    <row r="116" spans="1:28" s="277" customFormat="1" ht="20.25">
      <c r="A116" s="456" t="s">
        <v>774</v>
      </c>
      <c r="B116" s="464" t="s">
        <v>1155</v>
      </c>
      <c r="C116" s="465" t="s">
        <v>1142</v>
      </c>
      <c r="D116" s="464" t="s">
        <v>1142</v>
      </c>
      <c r="E116" s="464" t="s">
        <v>1131</v>
      </c>
      <c r="F116" s="464" t="s">
        <v>774</v>
      </c>
      <c r="G116" s="457" t="s">
        <v>15611</v>
      </c>
      <c r="H116" s="466">
        <v>0</v>
      </c>
      <c r="I116" s="467" t="s">
        <v>1763</v>
      </c>
      <c r="J116" s="467" t="s">
        <v>1764</v>
      </c>
      <c r="K116" s="453"/>
      <c r="L116" s="453"/>
      <c r="M116" s="453"/>
      <c r="N116" s="453"/>
      <c r="O116" s="453"/>
      <c r="P116" s="454"/>
      <c r="Q116" s="455"/>
      <c r="R116" s="217" t="str">
        <f ca="1">IF(ISERROR($V116),"",OFFSET('Smelter Look-up'!$C$4,$V116-4,0)&amp;"")</f>
        <v>Mitsui Mining and Smelting Co., Ltd.</v>
      </c>
      <c r="S116" s="225" t="str">
        <f t="shared" ca="1" si="15"/>
        <v>JP</v>
      </c>
      <c r="T116" s="225" t="str">
        <f ca="1">IF(B116="","",IF(ISERROR(MATCH($J116,SorP!$B$1:$B$6230,0)),"",INDIRECT("'SorP'!$A$"&amp;MATCH($J116,SorP!$B$1:$B$6230,0))))</f>
        <v>JP-40</v>
      </c>
      <c r="U116" s="241"/>
      <c r="V116" s="275">
        <f>IF(C116="",NA(),MATCH($B116&amp;$C116,'Smelter Look-up'!$J:$J,0))</f>
        <v>327</v>
      </c>
      <c r="W116" s="276"/>
      <c r="X116" s="276">
        <f t="shared" si="16"/>
        <v>0</v>
      </c>
      <c r="Y116" s="276"/>
      <c r="Z116" s="276"/>
      <c r="AB116" s="278" t="str">
        <f t="shared" si="17"/>
        <v>TantalumMitsui Mining &amp; Smelting</v>
      </c>
    </row>
    <row r="117" spans="1:28" s="277" customFormat="1" ht="24.75">
      <c r="A117" s="216" t="s">
        <v>727</v>
      </c>
      <c r="B117" s="217" t="s">
        <v>1153</v>
      </c>
      <c r="C117" s="450" t="s">
        <v>1253</v>
      </c>
      <c r="D117" s="217"/>
      <c r="E117" s="217" t="s">
        <v>1131</v>
      </c>
      <c r="F117" s="217" t="s">
        <v>727</v>
      </c>
      <c r="G117" s="217" t="s">
        <v>13577</v>
      </c>
      <c r="H117" s="451" t="s">
        <v>15902</v>
      </c>
      <c r="I117" s="452" t="s">
        <v>1659</v>
      </c>
      <c r="J117" s="452" t="s">
        <v>1658</v>
      </c>
      <c r="K117" s="453" t="s">
        <v>14249</v>
      </c>
      <c r="L117" s="453" t="s">
        <v>15903</v>
      </c>
      <c r="M117" s="453" t="s">
        <v>15537</v>
      </c>
      <c r="N117" s="453" t="s">
        <v>15904</v>
      </c>
      <c r="O117" s="453" t="s">
        <v>15905</v>
      </c>
      <c r="P117" s="454" t="s">
        <v>499</v>
      </c>
      <c r="Q117" s="455" t="s">
        <v>15513</v>
      </c>
      <c r="R117" s="217" t="str">
        <f ca="1">IF(ISERROR($V117),"",OFFSET('Smelter Look-up'!$C$4,$V117-4,0)&amp;"")</f>
        <v>Mitsui Mining and Smelting Co., Ltd.</v>
      </c>
      <c r="S117" s="225" t="str">
        <f t="shared" ca="1" si="15"/>
        <v>JP</v>
      </c>
      <c r="T117" s="225" t="str">
        <f ca="1">IF(B117="","",IF(ISERROR(MATCH($J117,SorP!$B$1:$B$6230,0)),"",INDIRECT("'SorP'!$A$"&amp;MATCH($J117,SorP!$B$1:$B$6230,0))))</f>
        <v>JP-34</v>
      </c>
      <c r="U117" s="241"/>
      <c r="V117" s="275">
        <f>IF(C117="",NA(),MATCH($B117&amp;$C117,'Smelter Look-up'!$J:$J,0))</f>
        <v>166</v>
      </c>
      <c r="W117" s="276"/>
      <c r="X117" s="276">
        <f t="shared" si="16"/>
        <v>0</v>
      </c>
      <c r="Y117" s="276"/>
      <c r="Z117" s="276"/>
      <c r="AB117" s="278" t="str">
        <f t="shared" si="17"/>
        <v>GoldMitsui Mining and Smelting Co., Ltd.</v>
      </c>
    </row>
    <row r="118" spans="1:28" s="277" customFormat="1" ht="24.75">
      <c r="A118" s="216" t="s">
        <v>775</v>
      </c>
      <c r="B118" s="217" t="s">
        <v>1155</v>
      </c>
      <c r="C118" s="450" t="s">
        <v>2675</v>
      </c>
      <c r="D118" s="217"/>
      <c r="E118" s="217" t="s">
        <v>1126</v>
      </c>
      <c r="F118" s="217" t="s">
        <v>775</v>
      </c>
      <c r="G118" s="217" t="s">
        <v>13577</v>
      </c>
      <c r="H118" s="451" t="s">
        <v>15906</v>
      </c>
      <c r="I118" s="452" t="s">
        <v>1765</v>
      </c>
      <c r="J118" s="452" t="s">
        <v>1766</v>
      </c>
      <c r="K118" s="453" t="s">
        <v>15907</v>
      </c>
      <c r="L118" s="453" t="s">
        <v>15908</v>
      </c>
      <c r="M118" s="453" t="s">
        <v>15554</v>
      </c>
      <c r="N118" s="453" t="s">
        <v>15542</v>
      </c>
      <c r="O118" s="453" t="s">
        <v>15909</v>
      </c>
      <c r="P118" s="454" t="s">
        <v>499</v>
      </c>
      <c r="Q118" s="455" t="s">
        <v>15520</v>
      </c>
      <c r="R118" s="217" t="str">
        <f ca="1">IF(ISERROR($V118),"",OFFSET('Smelter Look-up'!$C$4,$V118-4,0)&amp;"")</f>
        <v>NPM Silmet AS</v>
      </c>
      <c r="S118" s="225" t="str">
        <f t="shared" ca="1" si="15"/>
        <v>EE</v>
      </c>
      <c r="T118" s="225" t="str">
        <f ca="1">IF(B118="","",IF(ISERROR(MATCH($J118,SorP!$B$1:$B$6230,0)),"",INDIRECT("'SorP'!$A$"&amp;MATCH($J118,SorP!$B$1:$B$6230,0))))</f>
        <v>EE-44</v>
      </c>
      <c r="U118" s="241"/>
      <c r="V118" s="275">
        <f>IF(C118="",NA(),MATCH($B118&amp;$C118,'Smelter Look-up'!$J:$J,0))</f>
        <v>332</v>
      </c>
      <c r="W118" s="276"/>
      <c r="X118" s="276">
        <f t="shared" si="16"/>
        <v>0</v>
      </c>
      <c r="Y118" s="276"/>
      <c r="Z118" s="276"/>
      <c r="AB118" s="278" t="str">
        <f t="shared" si="17"/>
        <v>TantalumNPM Silmet AS</v>
      </c>
    </row>
    <row r="119" spans="1:28" s="277" customFormat="1" ht="49.5">
      <c r="A119" s="216" t="s">
        <v>728</v>
      </c>
      <c r="B119" s="217" t="s">
        <v>1153</v>
      </c>
      <c r="C119" s="450" t="s">
        <v>934</v>
      </c>
      <c r="D119" s="217"/>
      <c r="E119" s="217" t="s">
        <v>906</v>
      </c>
      <c r="F119" s="217" t="s">
        <v>728</v>
      </c>
      <c r="G119" s="217" t="s">
        <v>13577</v>
      </c>
      <c r="H119" s="451" t="s">
        <v>15910</v>
      </c>
      <c r="I119" s="452" t="s">
        <v>1661</v>
      </c>
      <c r="J119" s="452" t="s">
        <v>10217</v>
      </c>
      <c r="K119" s="453" t="s">
        <v>14249</v>
      </c>
      <c r="L119" s="453" t="s">
        <v>15911</v>
      </c>
      <c r="M119" s="453" t="s">
        <v>15912</v>
      </c>
      <c r="N119" s="453" t="s">
        <v>15511</v>
      </c>
      <c r="O119" s="453" t="s">
        <v>15533</v>
      </c>
      <c r="P119" s="454"/>
      <c r="Q119" s="455" t="s">
        <v>15520</v>
      </c>
      <c r="R119" s="217" t="str">
        <f ca="1">IF(ISERROR($V119),"",OFFSET('Smelter Look-up'!$C$4,$V119-4,0)&amp;"")</f>
        <v>Moscow Special Alloys Processing Plant</v>
      </c>
      <c r="S119" s="225" t="str">
        <f t="shared" ca="1" si="15"/>
        <v>RU</v>
      </c>
      <c r="T119" s="225" t="str">
        <f ca="1">IF(B119="","",IF(ISERROR(MATCH($J119,SorP!$B$1:$B$6230,0)),"",INDIRECT("'SorP'!$A$"&amp;MATCH($J119,SorP!$B$1:$B$6230,0))))</f>
        <v>RU-MOW</v>
      </c>
      <c r="U119" s="241"/>
      <c r="V119" s="275">
        <f>IF(C119="",NA(),MATCH($B119&amp;$C119,'Smelter Look-up'!$J:$J,0))</f>
        <v>170</v>
      </c>
      <c r="W119" s="276"/>
      <c r="X119" s="276">
        <f t="shared" si="16"/>
        <v>0</v>
      </c>
      <c r="Y119" s="276"/>
      <c r="Z119" s="276"/>
      <c r="AB119" s="278" t="str">
        <f t="shared" si="17"/>
        <v>GoldMoscow Special Alloys Processing Plant</v>
      </c>
    </row>
    <row r="120" spans="1:28" s="277" customFormat="1" ht="24.75">
      <c r="A120" s="216" t="s">
        <v>729</v>
      </c>
      <c r="B120" s="217" t="s">
        <v>1153</v>
      </c>
      <c r="C120" s="450" t="s">
        <v>12758</v>
      </c>
      <c r="D120" s="217"/>
      <c r="E120" s="217" t="s">
        <v>912</v>
      </c>
      <c r="F120" s="217" t="s">
        <v>729</v>
      </c>
      <c r="G120" s="217" t="s">
        <v>13577</v>
      </c>
      <c r="H120" s="451" t="s">
        <v>15913</v>
      </c>
      <c r="I120" s="452" t="s">
        <v>1662</v>
      </c>
      <c r="J120" s="452" t="s">
        <v>11593</v>
      </c>
      <c r="K120" s="453" t="s">
        <v>15914</v>
      </c>
      <c r="L120" s="453" t="s">
        <v>15915</v>
      </c>
      <c r="M120" s="453" t="s">
        <v>15703</v>
      </c>
      <c r="N120" s="453" t="s">
        <v>15533</v>
      </c>
      <c r="O120" s="453" t="s">
        <v>15533</v>
      </c>
      <c r="P120" s="454"/>
      <c r="Q120" s="455" t="s">
        <v>15520</v>
      </c>
      <c r="R120" s="217" t="str">
        <f ca="1">IF(ISERROR($V120),"",OFFSET('Smelter Look-up'!$C$4,$V120-4,0)&amp;"")</f>
        <v>Nadir Metal Rafineri San. Ve Tic. A.S.</v>
      </c>
      <c r="S120" s="225" t="str">
        <f t="shared" ca="1" si="15"/>
        <v>TR</v>
      </c>
      <c r="T120" s="225" t="str">
        <f ca="1">IF(B120="","",IF(ISERROR(MATCH($J120,SorP!$B$1:$B$6230,0)),"",INDIRECT("'SorP'!$A$"&amp;MATCH($J120,SorP!$B$1:$B$6230,0))))</f>
        <v>TR-34</v>
      </c>
      <c r="U120" s="241"/>
      <c r="V120" s="275">
        <f>IF(C120="",NA(),MATCH($B120&amp;$C120,'Smelter Look-up'!$J:$J,0))</f>
        <v>171</v>
      </c>
      <c r="W120" s="276"/>
      <c r="X120" s="276">
        <f t="shared" si="16"/>
        <v>0</v>
      </c>
      <c r="Y120" s="276"/>
      <c r="Z120" s="276"/>
      <c r="AB120" s="278" t="str">
        <f t="shared" si="17"/>
        <v>GoldNadir Metal Rafineri San. Ve Tic. A.S.</v>
      </c>
    </row>
    <row r="121" spans="1:28" s="277" customFormat="1" ht="37.15">
      <c r="A121" s="216" t="s">
        <v>1828</v>
      </c>
      <c r="B121" s="217" t="s">
        <v>1154</v>
      </c>
      <c r="C121" s="450" t="s">
        <v>13518</v>
      </c>
      <c r="D121" s="217"/>
      <c r="E121" s="217" t="s">
        <v>1123</v>
      </c>
      <c r="F121" s="217" t="s">
        <v>1828</v>
      </c>
      <c r="G121" s="217" t="s">
        <v>13577</v>
      </c>
      <c r="H121" s="451" t="s">
        <v>15916</v>
      </c>
      <c r="I121" s="452" t="s">
        <v>1812</v>
      </c>
      <c r="J121" s="452" t="s">
        <v>15601</v>
      </c>
      <c r="K121" s="453" t="s">
        <v>15917</v>
      </c>
      <c r="L121" s="453" t="s">
        <v>15918</v>
      </c>
      <c r="M121" s="453" t="s">
        <v>15919</v>
      </c>
      <c r="N121" s="453" t="s">
        <v>15542</v>
      </c>
      <c r="O121" s="453" t="s">
        <v>15909</v>
      </c>
      <c r="P121" s="454" t="s">
        <v>499</v>
      </c>
      <c r="Q121" s="455" t="s">
        <v>15513</v>
      </c>
      <c r="R121" s="217" t="str">
        <f ca="1">IF(ISERROR($V121),"",OFFSET('Smelter Look-up'!$C$4,$V121-4,0)&amp;"")</f>
        <v>Jiangxi New Nanshan Technology Ltd.</v>
      </c>
      <c r="S121" s="225" t="str">
        <f t="shared" ca="1" si="15"/>
        <v>CN</v>
      </c>
      <c r="T121" s="225" t="str">
        <f ca="1">IF(B121="","",IF(ISERROR(MATCH($J121,SorP!$B$1:$B$6230,0)),"",INDIRECT("'SorP'!$A$"&amp;MATCH($J121,SorP!$B$1:$B$6230,0))))</f>
        <v/>
      </c>
      <c r="U121" s="241"/>
      <c r="V121" s="275">
        <f>IF(C121="",NA(),MATCH($B121&amp;$C121,'Smelter Look-up'!$J:$J,0))</f>
        <v>404</v>
      </c>
      <c r="W121" s="276"/>
      <c r="X121" s="276">
        <f t="shared" si="16"/>
        <v>0</v>
      </c>
      <c r="Y121" s="276"/>
      <c r="Z121" s="276"/>
      <c r="AB121" s="278" t="str">
        <f t="shared" si="17"/>
        <v>TinJiangxi New Nanshan Technology Ltd.</v>
      </c>
    </row>
    <row r="122" spans="1:28" s="277" customFormat="1" ht="20.25">
      <c r="A122" s="216" t="s">
        <v>730</v>
      </c>
      <c r="B122" s="217" t="s">
        <v>1153</v>
      </c>
      <c r="C122" s="450" t="s">
        <v>1254</v>
      </c>
      <c r="D122" s="217"/>
      <c r="E122" s="217" t="s">
        <v>914</v>
      </c>
      <c r="F122" s="217" t="s">
        <v>730</v>
      </c>
      <c r="G122" s="217" t="s">
        <v>13577</v>
      </c>
      <c r="H122" s="451" t="s">
        <v>14249</v>
      </c>
      <c r="I122" s="452" t="s">
        <v>1663</v>
      </c>
      <c r="J122" s="452" t="s">
        <v>12344</v>
      </c>
      <c r="K122" s="453" t="s">
        <v>14249</v>
      </c>
      <c r="L122" s="453" t="s">
        <v>14249</v>
      </c>
      <c r="M122" s="453" t="s">
        <v>14249</v>
      </c>
      <c r="N122" s="453" t="s">
        <v>14249</v>
      </c>
      <c r="O122" s="453" t="s">
        <v>14249</v>
      </c>
      <c r="P122" s="454" t="s">
        <v>14249</v>
      </c>
      <c r="Q122" s="455" t="s">
        <v>14249</v>
      </c>
      <c r="R122" s="217" t="str">
        <f ca="1">IF(ISERROR($V122),"",OFFSET('Smelter Look-up'!$C$4,$V122-4,0)&amp;"")</f>
        <v>Navoi Mining and Metallurgical Combinat</v>
      </c>
      <c r="S122" s="225" t="str">
        <f t="shared" ca="1" si="15"/>
        <v>UZ</v>
      </c>
      <c r="T122" s="225" t="str">
        <f ca="1">IF(B122="","",IF(ISERROR(MATCH($J122,SorP!$B$1:$B$6230,0)),"",INDIRECT("'SorP'!$A$"&amp;MATCH($J122,SorP!$B$1:$B$6230,0))))</f>
        <v>UZ-NW</v>
      </c>
      <c r="U122" s="241"/>
      <c r="V122" s="275">
        <f>IF(C122="",NA(),MATCH($B122&amp;$C122,'Smelter Look-up'!$J:$J,0))</f>
        <v>173</v>
      </c>
      <c r="W122" s="276"/>
      <c r="X122" s="276">
        <f t="shared" si="16"/>
        <v>0</v>
      </c>
      <c r="Y122" s="276"/>
      <c r="Z122" s="276"/>
      <c r="AB122" s="278" t="str">
        <f t="shared" si="17"/>
        <v>GoldNavoi Mining and Metallurgical Combinat</v>
      </c>
    </row>
    <row r="123" spans="1:28" s="277" customFormat="1" ht="24.75">
      <c r="A123" s="216" t="s">
        <v>731</v>
      </c>
      <c r="B123" s="217" t="s">
        <v>1153</v>
      </c>
      <c r="C123" s="450" t="s">
        <v>2259</v>
      </c>
      <c r="D123" s="217"/>
      <c r="E123" s="217" t="s">
        <v>1131</v>
      </c>
      <c r="F123" s="217" t="s">
        <v>731</v>
      </c>
      <c r="G123" s="217" t="s">
        <v>13577</v>
      </c>
      <c r="H123" s="451" t="s">
        <v>15920</v>
      </c>
      <c r="I123" s="452" t="s">
        <v>1664</v>
      </c>
      <c r="J123" s="452" t="s">
        <v>1665</v>
      </c>
      <c r="K123" s="453" t="s">
        <v>15921</v>
      </c>
      <c r="L123" s="453" t="s">
        <v>15922</v>
      </c>
      <c r="M123" s="453" t="s">
        <v>15923</v>
      </c>
      <c r="N123" s="453" t="s">
        <v>15740</v>
      </c>
      <c r="O123" s="453" t="s">
        <v>15519</v>
      </c>
      <c r="P123" s="454" t="s">
        <v>498</v>
      </c>
      <c r="Q123" s="455" t="s">
        <v>15513</v>
      </c>
      <c r="R123" s="217" t="str">
        <f ca="1">IF(ISERROR($V123),"",OFFSET('Smelter Look-up'!$C$4,$V123-4,0)&amp;"")</f>
        <v>Nihon Material Co., Ltd.</v>
      </c>
      <c r="S123" s="225" t="str">
        <f t="shared" ca="1" si="15"/>
        <v>JP</v>
      </c>
      <c r="T123" s="225" t="str">
        <f ca="1">IF(B123="","",IF(ISERROR(MATCH($J123,SorP!$B$1:$B$6230,0)),"",INDIRECT("'SorP'!$A$"&amp;MATCH($J123,SorP!$B$1:$B$6230,0))))</f>
        <v>JP-12</v>
      </c>
      <c r="U123" s="241"/>
      <c r="V123" s="275">
        <f>IF(C123="",NA(),MATCH($B123&amp;$C123,'Smelter Look-up'!$J:$J,0))</f>
        <v>175</v>
      </c>
      <c r="W123" s="276"/>
      <c r="X123" s="276">
        <f t="shared" si="16"/>
        <v>0</v>
      </c>
      <c r="Y123" s="276"/>
      <c r="Z123" s="276"/>
      <c r="AB123" s="278" t="str">
        <f t="shared" si="17"/>
        <v>GoldNihon Material Co., Ltd.</v>
      </c>
    </row>
    <row r="124" spans="1:28" s="277" customFormat="1" ht="61.9">
      <c r="A124" s="216" t="s">
        <v>776</v>
      </c>
      <c r="B124" s="217" t="s">
        <v>1155</v>
      </c>
      <c r="C124" s="450" t="s">
        <v>1053</v>
      </c>
      <c r="D124" s="217"/>
      <c r="E124" s="217" t="s">
        <v>1123</v>
      </c>
      <c r="F124" s="217" t="s">
        <v>776</v>
      </c>
      <c r="G124" s="217" t="s">
        <v>13577</v>
      </c>
      <c r="H124" s="451" t="s">
        <v>15924</v>
      </c>
      <c r="I124" s="452" t="s">
        <v>1767</v>
      </c>
      <c r="J124" s="452" t="s">
        <v>15925</v>
      </c>
      <c r="K124" s="453" t="s">
        <v>15926</v>
      </c>
      <c r="L124" s="453" t="s">
        <v>15927</v>
      </c>
      <c r="M124" s="453" t="s">
        <v>15554</v>
      </c>
      <c r="N124" s="453" t="s">
        <v>15928</v>
      </c>
      <c r="O124" s="453" t="s">
        <v>15929</v>
      </c>
      <c r="P124" s="454" t="s">
        <v>499</v>
      </c>
      <c r="Q124" s="455" t="s">
        <v>15513</v>
      </c>
      <c r="R124" s="217" t="str">
        <f ca="1">IF(ISERROR($V124),"",OFFSET('Smelter Look-up'!$C$4,$V124-4,0)&amp;"")</f>
        <v>Ningxia Orient Tantalum Industry Co., Ltd.</v>
      </c>
      <c r="S124" s="225" t="str">
        <f t="shared" ca="1" si="15"/>
        <v>CN</v>
      </c>
      <c r="T124" s="225" t="str">
        <f ca="1">IF(B124="","",IF(ISERROR(MATCH($J124,SorP!$B$1:$B$6230,0)),"",INDIRECT("'SorP'!$A$"&amp;MATCH($J124,SorP!$B$1:$B$6230,0))))</f>
        <v/>
      </c>
      <c r="U124" s="241"/>
      <c r="V124" s="275">
        <f>IF(C124="",NA(),MATCH($B124&amp;$C124,'Smelter Look-up'!$J:$J,0))</f>
        <v>331</v>
      </c>
      <c r="W124" s="276"/>
      <c r="X124" s="276">
        <f t="shared" si="16"/>
        <v>0</v>
      </c>
      <c r="Y124" s="276"/>
      <c r="Z124" s="276"/>
      <c r="AB124" s="278" t="str">
        <f t="shared" si="17"/>
        <v>TantalumNingxia Orient Tantalum Industry Co., Ltd.</v>
      </c>
    </row>
    <row r="125" spans="1:28" s="277" customFormat="1" ht="61.9">
      <c r="A125" s="216" t="s">
        <v>797</v>
      </c>
      <c r="B125" s="217" t="s">
        <v>1154</v>
      </c>
      <c r="C125" s="450" t="s">
        <v>796</v>
      </c>
      <c r="D125" s="217"/>
      <c r="E125" s="217" t="s">
        <v>911</v>
      </c>
      <c r="F125" s="217" t="s">
        <v>797</v>
      </c>
      <c r="G125" s="217" t="s">
        <v>13577</v>
      </c>
      <c r="H125" s="451" t="s">
        <v>15930</v>
      </c>
      <c r="I125" s="452" t="s">
        <v>2469</v>
      </c>
      <c r="J125" s="452" t="s">
        <v>11350</v>
      </c>
      <c r="K125" s="453" t="s">
        <v>15931</v>
      </c>
      <c r="L125" s="453" t="s">
        <v>15932</v>
      </c>
      <c r="M125" s="453" t="s">
        <v>15933</v>
      </c>
      <c r="N125" s="453" t="s">
        <v>15740</v>
      </c>
      <c r="O125" s="453" t="s">
        <v>15519</v>
      </c>
      <c r="P125" s="454" t="s">
        <v>498</v>
      </c>
      <c r="Q125" s="455" t="s">
        <v>15513</v>
      </c>
      <c r="R125" s="217" t="str">
        <f ca="1">IF(ISERROR($V125),"",OFFSET('Smelter Look-up'!$C$4,$V125-4,0)&amp;"")</f>
        <v>O.M. Manufacturing (Thailand) Co., Ltd.</v>
      </c>
      <c r="S125" s="225" t="str">
        <f t="shared" ca="1" si="15"/>
        <v>TH</v>
      </c>
      <c r="T125" s="225" t="str">
        <f ca="1">IF(B125="","",IF(ISERROR(MATCH($J125,SorP!$B$1:$B$6230,0)),"",INDIRECT("'SorP'!$A$"&amp;MATCH($J125,SorP!$B$1:$B$6230,0))))</f>
        <v>TH-20</v>
      </c>
      <c r="U125" s="241"/>
      <c r="V125" s="275">
        <f>IF(C125="",NA(),MATCH($B125&amp;$C125,'Smelter Look-up'!$J:$J,0))</f>
        <v>431</v>
      </c>
      <c r="W125" s="276"/>
      <c r="X125" s="276">
        <f t="shared" si="16"/>
        <v>0</v>
      </c>
      <c r="Y125" s="276"/>
      <c r="Z125" s="276"/>
      <c r="AB125" s="278" t="str">
        <f t="shared" si="17"/>
        <v>TinO.M. Manufacturing (Thailand) Co., Ltd.</v>
      </c>
    </row>
    <row r="126" spans="1:28" s="277" customFormat="1" ht="24.75">
      <c r="A126" s="456" t="s">
        <v>15934</v>
      </c>
      <c r="B126" s="217" t="s">
        <v>1153</v>
      </c>
      <c r="C126" s="450" t="s">
        <v>15935</v>
      </c>
      <c r="D126" s="217"/>
      <c r="E126" s="217" t="s">
        <v>2576</v>
      </c>
      <c r="F126" s="217" t="s">
        <v>15934</v>
      </c>
      <c r="G126" s="457" t="s">
        <v>15611</v>
      </c>
      <c r="H126" s="451">
        <v>0</v>
      </c>
      <c r="I126" s="452" t="s">
        <v>15936</v>
      </c>
      <c r="J126" s="452" t="s">
        <v>1666</v>
      </c>
      <c r="K126" s="453"/>
      <c r="L126" s="453"/>
      <c r="M126" s="453"/>
      <c r="N126" s="453"/>
      <c r="O126" s="453"/>
      <c r="P126" s="454"/>
      <c r="Q126" s="455"/>
      <c r="R126" s="217" t="str">
        <f ca="1">IF(ISERROR($V126),"",OFFSET('Smelter Look-up'!$C$4,$V126-4,0)&amp;"")</f>
        <v/>
      </c>
      <c r="S126" s="225" t="str">
        <f t="shared" ca="1" si="15"/>
        <v>US</v>
      </c>
      <c r="T126" s="225" t="str">
        <f ca="1">IF(B126="","",IF(ISERROR(MATCH($J126,SorP!$B$1:$B$6230,0)),"",INDIRECT("'SorP'!$A$"&amp;MATCH($J126,SorP!$B$1:$B$6230,0))))</f>
        <v>US-OH</v>
      </c>
      <c r="U126" s="241"/>
      <c r="V126" s="275" t="e">
        <f>IF(C126="",NA(),MATCH($B126&amp;$C126,'Smelter Look-up'!$J:$J,0))</f>
        <v>#N/A</v>
      </c>
      <c r="W126" s="276"/>
      <c r="X126" s="276">
        <f t="shared" si="16"/>
        <v>0</v>
      </c>
      <c r="Y126" s="276"/>
      <c r="Z126" s="276"/>
      <c r="AB126" s="278" t="str">
        <f t="shared" si="17"/>
        <v>GoldElemetal Refining, LLC</v>
      </c>
    </row>
    <row r="127" spans="1:28" s="277" customFormat="1" ht="24.75">
      <c r="A127" s="216" t="s">
        <v>732</v>
      </c>
      <c r="B127" s="217" t="s">
        <v>1153</v>
      </c>
      <c r="C127" s="450" t="s">
        <v>2260</v>
      </c>
      <c r="D127" s="217"/>
      <c r="E127" s="217" t="s">
        <v>1131</v>
      </c>
      <c r="F127" s="217" t="s">
        <v>732</v>
      </c>
      <c r="G127" s="217" t="s">
        <v>13577</v>
      </c>
      <c r="H127" s="451" t="s">
        <v>15937</v>
      </c>
      <c r="I127" s="452" t="s">
        <v>1667</v>
      </c>
      <c r="J127" s="452" t="s">
        <v>1668</v>
      </c>
      <c r="K127" s="453" t="s">
        <v>15938</v>
      </c>
      <c r="L127" s="453" t="s">
        <v>15939</v>
      </c>
      <c r="M127" s="453" t="s">
        <v>15940</v>
      </c>
      <c r="N127" s="453" t="s">
        <v>15740</v>
      </c>
      <c r="O127" s="453" t="s">
        <v>15519</v>
      </c>
      <c r="P127" s="454" t="s">
        <v>498</v>
      </c>
      <c r="Q127" s="455" t="s">
        <v>15520</v>
      </c>
      <c r="R127" s="217" t="str">
        <f ca="1">IF(ISERROR($V127),"",OFFSET('Smelter Look-up'!$C$4,$V127-4,0)&amp;"")</f>
        <v>Ohura Precious Metal Industry Co., Ltd.</v>
      </c>
      <c r="S127" s="225" t="str">
        <f t="shared" ca="1" si="15"/>
        <v>JP</v>
      </c>
      <c r="T127" s="225" t="str">
        <f ca="1">IF(B127="","",IF(ISERROR(MATCH($J127,SorP!$B$1:$B$6230,0)),"",INDIRECT("'SorP'!$A$"&amp;MATCH($J127,SorP!$B$1:$B$6230,0))))</f>
        <v>JP-29</v>
      </c>
      <c r="U127" s="241"/>
      <c r="V127" s="275">
        <f>IF(C127="",NA(),MATCH($B127&amp;$C127,'Smelter Look-up'!$J:$J,0))</f>
        <v>180</v>
      </c>
      <c r="W127" s="276"/>
      <c r="X127" s="276">
        <f t="shared" si="16"/>
        <v>0</v>
      </c>
      <c r="Y127" s="276"/>
      <c r="Z127" s="276"/>
      <c r="AB127" s="278" t="str">
        <f t="shared" si="17"/>
        <v>GoldOhura Precious Metal Industry Co., Ltd.</v>
      </c>
    </row>
    <row r="128" spans="1:28" s="277" customFormat="1" ht="24.75">
      <c r="A128" s="216" t="s">
        <v>733</v>
      </c>
      <c r="B128" s="217" t="s">
        <v>1153</v>
      </c>
      <c r="C128" s="450" t="s">
        <v>2369</v>
      </c>
      <c r="D128" s="217"/>
      <c r="E128" s="217" t="s">
        <v>906</v>
      </c>
      <c r="F128" s="217" t="s">
        <v>733</v>
      </c>
      <c r="G128" s="217" t="s">
        <v>13577</v>
      </c>
      <c r="H128" s="451" t="s">
        <v>15941</v>
      </c>
      <c r="I128" s="452" t="s">
        <v>1669</v>
      </c>
      <c r="J128" s="452" t="s">
        <v>10360</v>
      </c>
      <c r="K128" s="453" t="s">
        <v>15942</v>
      </c>
      <c r="L128" s="453" t="s">
        <v>15943</v>
      </c>
      <c r="M128" s="453" t="s">
        <v>15703</v>
      </c>
      <c r="N128" s="453" t="s">
        <v>15511</v>
      </c>
      <c r="O128" s="453" t="s">
        <v>15533</v>
      </c>
      <c r="P128" s="454"/>
      <c r="Q128" s="455" t="s">
        <v>15520</v>
      </c>
      <c r="R128" s="217" t="str">
        <f ca="1">IF(ISERROR($V128),"",OFFSET('Smelter Look-up'!$C$4,$V128-4,0)&amp;"")</f>
        <v>OJSC "The Gulidov Krasnoyarsk Non-Ferrous Metals Plant" (OJSC Krastsvetmet)</v>
      </c>
      <c r="S128" s="225" t="str">
        <f t="shared" ca="1" si="15"/>
        <v>RU</v>
      </c>
      <c r="T128" s="225" t="str">
        <f ca="1">IF(B128="","",IF(ISERROR(MATCH($J128,SorP!$B$1:$B$6230,0)),"",INDIRECT("'SorP'!$A$"&amp;MATCH($J128,SorP!$B$1:$B$6230,0))))</f>
        <v>RU-KYA</v>
      </c>
      <c r="U128" s="241"/>
      <c r="V128" s="275">
        <f>IF(C128="",NA(),MATCH($B128&amp;$C128,'Smelter Look-up'!$J:$J,0))</f>
        <v>181</v>
      </c>
      <c r="W128" s="276"/>
      <c r="X128" s="276">
        <f t="shared" si="16"/>
        <v>0</v>
      </c>
      <c r="Y128" s="276"/>
      <c r="Z128" s="276"/>
      <c r="AB128" s="278" t="str">
        <f t="shared" si="17"/>
        <v>GoldOJSC "The Gulidov Krasnoyarsk Non-Ferrous Metals Plant" (OJSC Krastsvetmet)</v>
      </c>
    </row>
    <row r="129" spans="1:28" s="277" customFormat="1" ht="49.5">
      <c r="A129" s="216" t="s">
        <v>798</v>
      </c>
      <c r="B129" s="217" t="s">
        <v>1154</v>
      </c>
      <c r="C129" s="450" t="s">
        <v>15944</v>
      </c>
      <c r="D129" s="217"/>
      <c r="E129" s="217" t="s">
        <v>2574</v>
      </c>
      <c r="F129" s="217" t="s">
        <v>798</v>
      </c>
      <c r="G129" s="217" t="s">
        <v>13577</v>
      </c>
      <c r="H129" s="451" t="s">
        <v>15945</v>
      </c>
      <c r="I129" s="452" t="s">
        <v>1807</v>
      </c>
      <c r="J129" s="452" t="s">
        <v>1807</v>
      </c>
      <c r="K129" s="453" t="s">
        <v>15946</v>
      </c>
      <c r="L129" s="453" t="s">
        <v>15947</v>
      </c>
      <c r="M129" s="453" t="s">
        <v>15554</v>
      </c>
      <c r="N129" s="453" t="s">
        <v>15948</v>
      </c>
      <c r="O129" s="453" t="s">
        <v>15949</v>
      </c>
      <c r="P129" s="454" t="s">
        <v>499</v>
      </c>
      <c r="Q129" s="455" t="s">
        <v>15513</v>
      </c>
      <c r="R129" s="217" t="str">
        <f ca="1">IF(ISERROR($V129),"",OFFSET('Smelter Look-up'!$C$4,$V129-4,0)&amp;"")</f>
        <v/>
      </c>
      <c r="S129" s="225" t="str">
        <f t="shared" ca="1" si="15"/>
        <v>BO</v>
      </c>
      <c r="T129" s="225" t="str">
        <f ca="1">IF(B129="","",IF(ISERROR(MATCH($J129,SorP!$B$1:$B$6230,0)),"",INDIRECT("'SorP'!$A$"&amp;MATCH($J129,SorP!$B$1:$B$6230,0))))</f>
        <v>BO-O</v>
      </c>
      <c r="U129" s="241"/>
      <c r="V129" s="275" t="e">
        <f>IF(C129="",NA(),MATCH($B129&amp;$C129,'Smelter Look-up'!$J:$J,0))</f>
        <v>#N/A</v>
      </c>
      <c r="W129" s="276"/>
      <c r="X129" s="276">
        <f t="shared" si="16"/>
        <v>0</v>
      </c>
      <c r="Y129" s="276"/>
      <c r="Z129" s="276"/>
      <c r="AB129" s="278" t="str">
        <f t="shared" si="17"/>
        <v>TinOperaciones Metalurgical S.A.</v>
      </c>
    </row>
    <row r="130" spans="1:28" s="277" customFormat="1" ht="24.75">
      <c r="A130" s="216" t="s">
        <v>734</v>
      </c>
      <c r="B130" s="217" t="s">
        <v>1153</v>
      </c>
      <c r="C130" s="450" t="s">
        <v>2439</v>
      </c>
      <c r="D130" s="217"/>
      <c r="E130" s="217" t="s">
        <v>1121</v>
      </c>
      <c r="F130" s="217" t="s">
        <v>734</v>
      </c>
      <c r="G130" s="217" t="s">
        <v>13577</v>
      </c>
      <c r="H130" s="451" t="s">
        <v>15950</v>
      </c>
      <c r="I130" s="452" t="s">
        <v>1671</v>
      </c>
      <c r="J130" s="452" t="s">
        <v>1579</v>
      </c>
      <c r="K130" s="453" t="s">
        <v>15951</v>
      </c>
      <c r="L130" s="453" t="s">
        <v>15952</v>
      </c>
      <c r="M130" s="453" t="s">
        <v>15953</v>
      </c>
      <c r="N130" s="453" t="s">
        <v>15511</v>
      </c>
      <c r="O130" s="453" t="s">
        <v>15533</v>
      </c>
      <c r="P130" s="454"/>
      <c r="Q130" s="455" t="s">
        <v>15520</v>
      </c>
      <c r="R130" s="217" t="str">
        <f ca="1">IF(ISERROR($V130),"",OFFSET('Smelter Look-up'!$C$4,$V130-4,0)&amp;"")</f>
        <v>PAMP S.A.</v>
      </c>
      <c r="S130" s="225" t="str">
        <f t="shared" ca="1" si="15"/>
        <v>CH</v>
      </c>
      <c r="T130" s="225" t="str">
        <f ca="1">IF(B130="","",IF(ISERROR(MATCH($J130,SorP!$B$1:$B$6230,0)),"",INDIRECT("'SorP'!$A$"&amp;MATCH($J130,SorP!$B$1:$B$6230,0))))</f>
        <v>CH-TI</v>
      </c>
      <c r="U130" s="241"/>
      <c r="V130" s="275">
        <f>IF(C130="",NA(),MATCH($B130&amp;$C130,'Smelter Look-up'!$J:$J,0))</f>
        <v>184</v>
      </c>
      <c r="W130" s="276"/>
      <c r="X130" s="276">
        <f t="shared" si="16"/>
        <v>0</v>
      </c>
      <c r="Y130" s="276"/>
      <c r="Z130" s="276"/>
      <c r="AB130" s="278" t="str">
        <f t="shared" si="17"/>
        <v>GoldPAMP S.A.</v>
      </c>
    </row>
    <row r="131" spans="1:28" s="277" customFormat="1" ht="20.25">
      <c r="A131" s="456" t="s">
        <v>735</v>
      </c>
      <c r="B131" s="217" t="s">
        <v>1153</v>
      </c>
      <c r="C131" s="450" t="s">
        <v>2261</v>
      </c>
      <c r="D131" s="217"/>
      <c r="E131" s="217" t="s">
        <v>1123</v>
      </c>
      <c r="F131" s="217" t="s">
        <v>735</v>
      </c>
      <c r="G131" s="457" t="s">
        <v>15611</v>
      </c>
      <c r="H131" s="451">
        <v>0</v>
      </c>
      <c r="I131" s="452" t="s">
        <v>2624</v>
      </c>
      <c r="J131" s="452" t="s">
        <v>15723</v>
      </c>
      <c r="K131" s="453"/>
      <c r="L131" s="453"/>
      <c r="M131" s="453"/>
      <c r="N131" s="453"/>
      <c r="O131" s="453"/>
      <c r="P131" s="454"/>
      <c r="Q131" s="455"/>
      <c r="R131" s="217" t="str">
        <f ca="1">IF(ISERROR($V131),"",OFFSET('Smelter Look-up'!$C$4,$V131-4,0)&amp;"")</f>
        <v>Penglai Penggang Gold Industry Co., Ltd.</v>
      </c>
      <c r="S131" s="225" t="str">
        <f t="shared" ca="1" si="15"/>
        <v>CN</v>
      </c>
      <c r="T131" s="225" t="str">
        <f ca="1">IF(B131="","",IF(ISERROR(MATCH($J131,SorP!$B$1:$B$6230,0)),"",INDIRECT("'SorP'!$A$"&amp;MATCH($J131,SorP!$B$1:$B$6230,0))))</f>
        <v/>
      </c>
      <c r="U131" s="241"/>
      <c r="V131" s="275">
        <f>IF(C131="",NA(),MATCH($B131&amp;$C131,'Smelter Look-up'!$J:$J,0))</f>
        <v>187</v>
      </c>
      <c r="W131" s="276"/>
      <c r="X131" s="276">
        <f t="shared" si="16"/>
        <v>0</v>
      </c>
      <c r="Y131" s="276"/>
      <c r="Z131" s="276"/>
      <c r="AB131" s="278" t="str">
        <f t="shared" si="17"/>
        <v>GoldPenglai Penggang Gold Industry Co., Ltd.</v>
      </c>
    </row>
    <row r="132" spans="1:28" s="277" customFormat="1" ht="49.5">
      <c r="A132" s="216" t="s">
        <v>736</v>
      </c>
      <c r="B132" s="217" t="s">
        <v>1153</v>
      </c>
      <c r="C132" s="450" t="s">
        <v>935</v>
      </c>
      <c r="D132" s="217"/>
      <c r="E132" s="217" t="s">
        <v>906</v>
      </c>
      <c r="F132" s="217" t="s">
        <v>736</v>
      </c>
      <c r="G132" s="217" t="s">
        <v>13577</v>
      </c>
      <c r="H132" s="451" t="s">
        <v>15954</v>
      </c>
      <c r="I132" s="452" t="s">
        <v>1672</v>
      </c>
      <c r="J132" s="452" t="s">
        <v>10220</v>
      </c>
      <c r="K132" s="453" t="s">
        <v>15955</v>
      </c>
      <c r="L132" s="453" t="s">
        <v>15956</v>
      </c>
      <c r="M132" s="453" t="s">
        <v>15912</v>
      </c>
      <c r="N132" s="453" t="s">
        <v>15511</v>
      </c>
      <c r="O132" s="453" t="s">
        <v>15533</v>
      </c>
      <c r="P132" s="454"/>
      <c r="Q132" s="455" t="s">
        <v>15520</v>
      </c>
      <c r="R132" s="217" t="str">
        <f ca="1">IF(ISERROR($V132),"",OFFSET('Smelter Look-up'!$C$4,$V132-4,0)&amp;"")</f>
        <v>Prioksky Plant of Non-Ferrous Metals</v>
      </c>
      <c r="S132" s="225" t="str">
        <f t="shared" ca="1" si="15"/>
        <v>RU</v>
      </c>
      <c r="T132" s="225" t="str">
        <f ca="1">IF(B132="","",IF(ISERROR(MATCH($J132,SorP!$B$1:$B$6230,0)),"",INDIRECT("'SorP'!$A$"&amp;MATCH($J132,SorP!$B$1:$B$6230,0))))</f>
        <v>RU-RYA</v>
      </c>
      <c r="U132" s="241"/>
      <c r="V132" s="275">
        <f>IF(C132="",NA(),MATCH($B132&amp;$C132,'Smelter Look-up'!$J:$J,0))</f>
        <v>191</v>
      </c>
      <c r="W132" s="276"/>
      <c r="X132" s="276">
        <f t="shared" si="16"/>
        <v>0</v>
      </c>
      <c r="Y132" s="276"/>
      <c r="Z132" s="276"/>
      <c r="AB132" s="278" t="str">
        <f t="shared" si="17"/>
        <v>GoldPrioksky Plant of Non-Ferrous Metals</v>
      </c>
    </row>
    <row r="133" spans="1:28" s="277" customFormat="1" ht="61.9">
      <c r="A133" s="216" t="s">
        <v>737</v>
      </c>
      <c r="B133" s="217" t="s">
        <v>1153</v>
      </c>
      <c r="C133" s="450" t="s">
        <v>1255</v>
      </c>
      <c r="D133" s="217"/>
      <c r="E133" s="217" t="s">
        <v>1128</v>
      </c>
      <c r="F133" s="217" t="s">
        <v>737</v>
      </c>
      <c r="G133" s="217" t="s">
        <v>13577</v>
      </c>
      <c r="H133" s="451" t="s">
        <v>15957</v>
      </c>
      <c r="I133" s="452" t="s">
        <v>1673</v>
      </c>
      <c r="J133" s="452" t="s">
        <v>6188</v>
      </c>
      <c r="K133" s="453" t="s">
        <v>15958</v>
      </c>
      <c r="L133" s="453" t="s">
        <v>15959</v>
      </c>
      <c r="M133" s="453" t="s">
        <v>15960</v>
      </c>
      <c r="N133" s="453" t="s">
        <v>15511</v>
      </c>
      <c r="O133" s="453" t="s">
        <v>15533</v>
      </c>
      <c r="P133" s="454"/>
      <c r="Q133" s="455" t="s">
        <v>15520</v>
      </c>
      <c r="R133" s="217" t="str">
        <f ca="1">IF(ISERROR($V133),"",OFFSET('Smelter Look-up'!$C$4,$V133-4,0)&amp;"")</f>
        <v>PT Aneka Tambang (Persero) Tbk</v>
      </c>
      <c r="S133" s="225" t="str">
        <f t="shared" ref="S133" ca="1" si="18">IF(B133="","",IF(ISERROR(MATCH($E133,CL,0)),"Unknown",INDIRECT("'C'!$A$"&amp;MATCH($E133,CL,0)+1)))</f>
        <v>ID</v>
      </c>
      <c r="T133" s="225" t="str">
        <f ca="1">IF(B133="","",IF(ISERROR(MATCH($J133,SorP!$B$1:$B$6230,0)),"",INDIRECT("'SorP'!$A$"&amp;MATCH($J133,SorP!$B$1:$B$6230,0))))</f>
        <v>ID-JK</v>
      </c>
      <c r="U133" s="241"/>
      <c r="V133" s="275">
        <f>IF(C133="",NA(),MATCH($B133&amp;$C133,'Smelter Look-up'!$J:$J,0))</f>
        <v>193</v>
      </c>
      <c r="W133" s="276"/>
      <c r="X133" s="276">
        <f t="shared" ref="X133" si="19">IF(AND(C133="Smelter not listed",OR(LEN(D133)=0,LEN(E133)=0)),1,0)</f>
        <v>0</v>
      </c>
      <c r="Y133" s="276"/>
      <c r="Z133" s="276"/>
      <c r="AB133" s="278" t="str">
        <f t="shared" ref="AB133" si="20">B133&amp;C133</f>
        <v>GoldPT Aneka Tambang (Persero) Tbk</v>
      </c>
    </row>
    <row r="134" spans="1:28" s="277" customFormat="1" ht="74.25">
      <c r="A134" s="216" t="s">
        <v>799</v>
      </c>
      <c r="B134" s="217" t="s">
        <v>1154</v>
      </c>
      <c r="C134" s="450" t="s">
        <v>867</v>
      </c>
      <c r="D134" s="217"/>
      <c r="E134" s="217" t="s">
        <v>1128</v>
      </c>
      <c r="F134" s="217" t="s">
        <v>799</v>
      </c>
      <c r="G134" s="217" t="s">
        <v>13577</v>
      </c>
      <c r="H134" s="451" t="s">
        <v>15961</v>
      </c>
      <c r="I134" s="452" t="s">
        <v>1805</v>
      </c>
      <c r="J134" s="452" t="s">
        <v>13183</v>
      </c>
      <c r="K134" s="453" t="s">
        <v>15962</v>
      </c>
      <c r="L134" s="453" t="s">
        <v>15963</v>
      </c>
      <c r="M134" s="453" t="s">
        <v>15964</v>
      </c>
      <c r="N134" s="453" t="s">
        <v>15511</v>
      </c>
      <c r="O134" s="453" t="s">
        <v>15807</v>
      </c>
      <c r="P134" s="454" t="s">
        <v>499</v>
      </c>
      <c r="Q134" s="455" t="s">
        <v>15513</v>
      </c>
      <c r="R134" s="217" t="str">
        <f ca="1">IF(ISERROR($V134),"",OFFSET('Smelter Look-up'!$C$4,$V134-4,0)&amp;"")</f>
        <v>PT Artha Cipta Langgeng</v>
      </c>
      <c r="S134" s="225" t="str">
        <f t="shared" ref="S134:S165" ca="1" si="21">IF(B134="","",IF(ISERROR(MATCH($E134,CL,0)),"Unknown",INDIRECT("'C'!$A$"&amp;MATCH($E134,CL,0)+1)))</f>
        <v>ID</v>
      </c>
      <c r="T134" s="225" t="str">
        <f ca="1">IF(B134="","",IF(ISERROR(MATCH($J134,SorP!$B$1:$B$6230,0)),"",INDIRECT("'SorP'!$A$"&amp;MATCH($J134,SorP!$B$1:$B$6230,0))))</f>
        <v>ID-BB</v>
      </c>
      <c r="U134" s="241"/>
      <c r="V134" s="275">
        <f>IF(C134="",NA(),MATCH($B134&amp;$C134,'Smelter Look-up'!$J:$J,0))</f>
        <v>438</v>
      </c>
      <c r="W134" s="276"/>
      <c r="X134" s="276">
        <f t="shared" ref="X134:X165" si="22">IF(AND(C134="Smelter not listed",OR(LEN(D134)=0,LEN(E134)=0)),1,0)</f>
        <v>0</v>
      </c>
      <c r="Y134" s="276"/>
      <c r="Z134" s="276"/>
      <c r="AB134" s="278" t="str">
        <f t="shared" ref="AB134:AB165" si="23">B134&amp;C134</f>
        <v>TinPT Artha Cipta Langgeng</v>
      </c>
    </row>
    <row r="135" spans="1:28" s="277" customFormat="1" ht="49.5">
      <c r="A135" s="216" t="s">
        <v>15965</v>
      </c>
      <c r="B135" s="217" t="s">
        <v>1154</v>
      </c>
      <c r="C135" s="450" t="s">
        <v>15966</v>
      </c>
      <c r="D135" s="217"/>
      <c r="E135" s="217" t="s">
        <v>1128</v>
      </c>
      <c r="F135" s="217" t="s">
        <v>15965</v>
      </c>
      <c r="G135" s="217" t="s">
        <v>13577</v>
      </c>
      <c r="H135" s="451" t="s">
        <v>15967</v>
      </c>
      <c r="I135" s="452" t="s">
        <v>15968</v>
      </c>
      <c r="J135" s="452" t="s">
        <v>13183</v>
      </c>
      <c r="K135" s="453" t="s">
        <v>15969</v>
      </c>
      <c r="L135" s="453" t="s">
        <v>15970</v>
      </c>
      <c r="M135" s="453" t="s">
        <v>15787</v>
      </c>
      <c r="N135" s="453" t="s">
        <v>15511</v>
      </c>
      <c r="O135" s="453" t="s">
        <v>15655</v>
      </c>
      <c r="P135" s="454" t="s">
        <v>499</v>
      </c>
      <c r="Q135" s="455" t="s">
        <v>15513</v>
      </c>
      <c r="R135" s="217" t="str">
        <f ca="1">IF(ISERROR($V135),"",OFFSET('Smelter Look-up'!$C$4,$V135-4,0)&amp;"")</f>
        <v/>
      </c>
      <c r="S135" s="225" t="str">
        <f t="shared" ca="1" si="21"/>
        <v>ID</v>
      </c>
      <c r="T135" s="225" t="str">
        <f ca="1">IF(B135="","",IF(ISERROR(MATCH($J135,SorP!$B$1:$B$6230,0)),"",INDIRECT("'SorP'!$A$"&amp;MATCH($J135,SorP!$B$1:$B$6230,0))))</f>
        <v>ID-BB</v>
      </c>
      <c r="U135" s="241"/>
      <c r="V135" s="275" t="e">
        <f>IF(C135="",NA(),MATCH($B135&amp;$C135,'Smelter Look-up'!$J:$J,0))</f>
        <v>#N/A</v>
      </c>
      <c r="W135" s="276"/>
      <c r="X135" s="276">
        <f t="shared" si="22"/>
        <v>0</v>
      </c>
      <c r="Y135" s="276"/>
      <c r="Z135" s="276"/>
      <c r="AB135" s="278" t="str">
        <f t="shared" si="23"/>
        <v>TinPT Babel Inti Perkasa</v>
      </c>
    </row>
    <row r="136" spans="1:28" s="277" customFormat="1" ht="37.15">
      <c r="A136" s="216" t="s">
        <v>15971</v>
      </c>
      <c r="B136" s="217" t="s">
        <v>1154</v>
      </c>
      <c r="C136" s="450" t="s">
        <v>15972</v>
      </c>
      <c r="D136" s="217"/>
      <c r="E136" s="217" t="s">
        <v>1128</v>
      </c>
      <c r="F136" s="217" t="s">
        <v>15971</v>
      </c>
      <c r="G136" s="217" t="s">
        <v>13577</v>
      </c>
      <c r="H136" s="451" t="s">
        <v>15973</v>
      </c>
      <c r="I136" s="452" t="s">
        <v>1805</v>
      </c>
      <c r="J136" s="452" t="s">
        <v>13183</v>
      </c>
      <c r="K136" s="453" t="s">
        <v>15974</v>
      </c>
      <c r="L136" s="453" t="s">
        <v>15975</v>
      </c>
      <c r="M136" s="453" t="s">
        <v>15976</v>
      </c>
      <c r="N136" s="453" t="s">
        <v>15977</v>
      </c>
      <c r="O136" s="453" t="s">
        <v>15655</v>
      </c>
      <c r="P136" s="454" t="s">
        <v>499</v>
      </c>
      <c r="Q136" s="455" t="s">
        <v>15513</v>
      </c>
      <c r="R136" s="217" t="str">
        <f ca="1">IF(ISERROR($V136),"",OFFSET('Smelter Look-up'!$C$4,$V136-4,0)&amp;"")</f>
        <v/>
      </c>
      <c r="S136" s="225" t="str">
        <f t="shared" ca="1" si="21"/>
        <v>ID</v>
      </c>
      <c r="T136" s="225" t="str">
        <f ca="1">IF(B136="","",IF(ISERROR(MATCH($J136,SorP!$B$1:$B$6230,0)),"",INDIRECT("'SorP'!$A$"&amp;MATCH($J136,SorP!$B$1:$B$6230,0))))</f>
        <v>ID-BB</v>
      </c>
      <c r="U136" s="241"/>
      <c r="V136" s="275" t="e">
        <f>IF(C136="",NA(),MATCH($B136&amp;$C136,'Smelter Look-up'!$J:$J,0))</f>
        <v>#N/A</v>
      </c>
      <c r="W136" s="276"/>
      <c r="X136" s="276">
        <f t="shared" si="22"/>
        <v>0</v>
      </c>
      <c r="Y136" s="276"/>
      <c r="Z136" s="276"/>
      <c r="AB136" s="278" t="str">
        <f t="shared" si="23"/>
        <v>TinPT Bangka Tin Industry</v>
      </c>
    </row>
    <row r="137" spans="1:28" s="277" customFormat="1" ht="61.9">
      <c r="A137" s="216" t="s">
        <v>15978</v>
      </c>
      <c r="B137" s="217" t="s">
        <v>1154</v>
      </c>
      <c r="C137" s="450" t="s">
        <v>15979</v>
      </c>
      <c r="D137" s="217"/>
      <c r="E137" s="217" t="s">
        <v>1128</v>
      </c>
      <c r="F137" s="217" t="s">
        <v>15978</v>
      </c>
      <c r="G137" s="217" t="s">
        <v>13577</v>
      </c>
      <c r="H137" s="451" t="s">
        <v>15980</v>
      </c>
      <c r="I137" s="452" t="s">
        <v>15981</v>
      </c>
      <c r="J137" s="452" t="s">
        <v>13183</v>
      </c>
      <c r="K137" s="453" t="s">
        <v>15982</v>
      </c>
      <c r="L137" s="453" t="s">
        <v>15983</v>
      </c>
      <c r="M137" s="453" t="s">
        <v>15984</v>
      </c>
      <c r="N137" s="453" t="s">
        <v>15511</v>
      </c>
      <c r="O137" s="453" t="s">
        <v>15807</v>
      </c>
      <c r="P137" s="454" t="s">
        <v>499</v>
      </c>
      <c r="Q137" s="455" t="s">
        <v>15513</v>
      </c>
      <c r="R137" s="217" t="str">
        <f ca="1">IF(ISERROR($V137),"",OFFSET('Smelter Look-up'!$C$4,$V137-4,0)&amp;"")</f>
        <v/>
      </c>
      <c r="S137" s="225" t="str">
        <f t="shared" ca="1" si="21"/>
        <v>ID</v>
      </c>
      <c r="T137" s="225" t="str">
        <f ca="1">IF(B137="","",IF(ISERROR(MATCH($J137,SorP!$B$1:$B$6230,0)),"",INDIRECT("'SorP'!$A$"&amp;MATCH($J137,SorP!$B$1:$B$6230,0))))</f>
        <v>ID-BB</v>
      </c>
      <c r="U137" s="241"/>
      <c r="V137" s="275" t="e">
        <f>IF(C137="",NA(),MATCH($B137&amp;$C137,'Smelter Look-up'!$J:$J,0))</f>
        <v>#N/A</v>
      </c>
      <c r="W137" s="276"/>
      <c r="X137" s="276">
        <f t="shared" si="22"/>
        <v>0</v>
      </c>
      <c r="Y137" s="276"/>
      <c r="Z137" s="276"/>
      <c r="AB137" s="278" t="str">
        <f t="shared" si="23"/>
        <v>TinPT Belitung Industri Sejahtera</v>
      </c>
    </row>
    <row r="138" spans="1:28" s="277" customFormat="1" ht="49.5">
      <c r="A138" s="216" t="s">
        <v>15985</v>
      </c>
      <c r="B138" s="217" t="s">
        <v>1154</v>
      </c>
      <c r="C138" s="450" t="s">
        <v>15986</v>
      </c>
      <c r="D138" s="217"/>
      <c r="E138" s="217" t="s">
        <v>1128</v>
      </c>
      <c r="F138" s="217" t="s">
        <v>15985</v>
      </c>
      <c r="G138" s="217" t="s">
        <v>13577</v>
      </c>
      <c r="H138" s="451" t="s">
        <v>15987</v>
      </c>
      <c r="I138" s="452" t="s">
        <v>15651</v>
      </c>
      <c r="J138" s="452" t="s">
        <v>13183</v>
      </c>
      <c r="K138" s="453" t="s">
        <v>15988</v>
      </c>
      <c r="L138" s="453" t="s">
        <v>15989</v>
      </c>
      <c r="M138" s="453" t="s">
        <v>15990</v>
      </c>
      <c r="N138" s="453" t="s">
        <v>15654</v>
      </c>
      <c r="O138" s="453" t="s">
        <v>15655</v>
      </c>
      <c r="P138" s="454" t="s">
        <v>499</v>
      </c>
      <c r="Q138" s="455" t="s">
        <v>15513</v>
      </c>
      <c r="R138" s="217" t="str">
        <f ca="1">IF(ISERROR($V138),"",OFFSET('Smelter Look-up'!$C$4,$V138-4,0)&amp;"")</f>
        <v/>
      </c>
      <c r="S138" s="225" t="str">
        <f t="shared" ca="1" si="21"/>
        <v>ID</v>
      </c>
      <c r="T138" s="225" t="str">
        <f ca="1">IF(B138="","",IF(ISERROR(MATCH($J138,SorP!$B$1:$B$6230,0)),"",INDIRECT("'SorP'!$A$"&amp;MATCH($J138,SorP!$B$1:$B$6230,0))))</f>
        <v>ID-BB</v>
      </c>
      <c r="U138" s="241"/>
      <c r="V138" s="275" t="e">
        <f>IF(C138="",NA(),MATCH($B138&amp;$C138,'Smelter Look-up'!$J:$J,0))</f>
        <v>#N/A</v>
      </c>
      <c r="W138" s="276"/>
      <c r="X138" s="276">
        <f t="shared" si="22"/>
        <v>0</v>
      </c>
      <c r="Y138" s="276"/>
      <c r="Z138" s="276"/>
      <c r="AB138" s="278" t="str">
        <f t="shared" si="23"/>
        <v>TinPT Bukit Timah</v>
      </c>
    </row>
    <row r="139" spans="1:28" s="277" customFormat="1" ht="61.9">
      <c r="A139" s="216" t="s">
        <v>15991</v>
      </c>
      <c r="B139" s="217" t="s">
        <v>1154</v>
      </c>
      <c r="C139" s="450" t="s">
        <v>15992</v>
      </c>
      <c r="D139" s="217"/>
      <c r="E139" s="217" t="s">
        <v>1128</v>
      </c>
      <c r="F139" s="217" t="s">
        <v>15991</v>
      </c>
      <c r="G139" s="217" t="s">
        <v>13577</v>
      </c>
      <c r="H139" s="451" t="s">
        <v>15993</v>
      </c>
      <c r="I139" s="452" t="s">
        <v>15651</v>
      </c>
      <c r="J139" s="452" t="s">
        <v>13183</v>
      </c>
      <c r="K139" s="453" t="s">
        <v>15994</v>
      </c>
      <c r="L139" s="453" t="s">
        <v>15995</v>
      </c>
      <c r="M139" s="453" t="s">
        <v>15996</v>
      </c>
      <c r="N139" s="453" t="s">
        <v>15511</v>
      </c>
      <c r="O139" s="453" t="s">
        <v>15655</v>
      </c>
      <c r="P139" s="454" t="s">
        <v>499</v>
      </c>
      <c r="Q139" s="455" t="s">
        <v>15513</v>
      </c>
      <c r="R139" s="217" t="str">
        <f ca="1">IF(ISERROR($V139),"",OFFSET('Smelter Look-up'!$C$4,$V139-4,0)&amp;"")</f>
        <v/>
      </c>
      <c r="S139" s="225" t="str">
        <f t="shared" ca="1" si="21"/>
        <v>ID</v>
      </c>
      <c r="T139" s="225" t="str">
        <f ca="1">IF(B139="","",IF(ISERROR(MATCH($J139,SorP!$B$1:$B$6230,0)),"",INDIRECT("'SorP'!$A$"&amp;MATCH($J139,SorP!$B$1:$B$6230,0))))</f>
        <v>ID-BB</v>
      </c>
      <c r="U139" s="241"/>
      <c r="V139" s="275" t="e">
        <f>IF(C139="",NA(),MATCH($B139&amp;$C139,'Smelter Look-up'!$J:$J,0))</f>
        <v>#N/A</v>
      </c>
      <c r="W139" s="276"/>
      <c r="X139" s="276">
        <f t="shared" si="22"/>
        <v>0</v>
      </c>
      <c r="Y139" s="276"/>
      <c r="Z139" s="276"/>
      <c r="AB139" s="278" t="str">
        <f t="shared" si="23"/>
        <v>TinPT DS Jaya Abadi</v>
      </c>
    </row>
    <row r="140" spans="1:28" s="277" customFormat="1" ht="74.25">
      <c r="A140" s="216" t="s">
        <v>15997</v>
      </c>
      <c r="B140" s="217" t="s">
        <v>1154</v>
      </c>
      <c r="C140" s="450" t="s">
        <v>15998</v>
      </c>
      <c r="D140" s="217"/>
      <c r="E140" s="217" t="s">
        <v>1128</v>
      </c>
      <c r="F140" s="217" t="s">
        <v>15997</v>
      </c>
      <c r="G140" s="217" t="s">
        <v>13577</v>
      </c>
      <c r="H140" s="451" t="s">
        <v>15999</v>
      </c>
      <c r="I140" s="452" t="s">
        <v>16000</v>
      </c>
      <c r="J140" s="452" t="s">
        <v>1830</v>
      </c>
      <c r="K140" s="453" t="s">
        <v>16001</v>
      </c>
      <c r="L140" s="453" t="s">
        <v>16002</v>
      </c>
      <c r="M140" s="453" t="s">
        <v>16003</v>
      </c>
      <c r="N140" s="453" t="s">
        <v>16004</v>
      </c>
      <c r="O140" s="453" t="s">
        <v>15655</v>
      </c>
      <c r="P140" s="454" t="s">
        <v>499</v>
      </c>
      <c r="Q140" s="455" t="s">
        <v>15513</v>
      </c>
      <c r="R140" s="217" t="str">
        <f ca="1">IF(ISERROR($V140),"",OFFSET('Smelter Look-up'!$C$4,$V140-4,0)&amp;"")</f>
        <v/>
      </c>
      <c r="S140" s="225" t="str">
        <f t="shared" ca="1" si="21"/>
        <v>ID</v>
      </c>
      <c r="T140" s="225" t="str">
        <f ca="1">IF(B140="","",IF(ISERROR(MATCH($J140,SorP!$B$1:$B$6230,0)),"",INDIRECT("'SorP'!$A$"&amp;MATCH($J140,SorP!$B$1:$B$6230,0))))</f>
        <v>ID-KR</v>
      </c>
      <c r="U140" s="241"/>
      <c r="V140" s="275" t="e">
        <f>IF(C140="",NA(),MATCH($B140&amp;$C140,'Smelter Look-up'!$J:$J,0))</f>
        <v>#N/A</v>
      </c>
      <c r="W140" s="276"/>
      <c r="X140" s="276">
        <f t="shared" si="22"/>
        <v>0</v>
      </c>
      <c r="Y140" s="276"/>
      <c r="Z140" s="276"/>
      <c r="AB140" s="278" t="str">
        <f t="shared" si="23"/>
        <v>TinPT Eunindo Usaha Mandiri</v>
      </c>
    </row>
    <row r="141" spans="1:28" s="277" customFormat="1" ht="37.15">
      <c r="A141" s="216" t="s">
        <v>16005</v>
      </c>
      <c r="B141" s="217" t="s">
        <v>1154</v>
      </c>
      <c r="C141" s="450" t="s">
        <v>16006</v>
      </c>
      <c r="D141" s="217"/>
      <c r="E141" s="217" t="s">
        <v>1128</v>
      </c>
      <c r="F141" s="217" t="s">
        <v>16005</v>
      </c>
      <c r="G141" s="217" t="s">
        <v>13577</v>
      </c>
      <c r="H141" s="451" t="s">
        <v>16007</v>
      </c>
      <c r="I141" s="452" t="s">
        <v>16000</v>
      </c>
      <c r="J141" s="452" t="s">
        <v>1830</v>
      </c>
      <c r="K141" s="453" t="s">
        <v>16008</v>
      </c>
      <c r="L141" s="453" t="s">
        <v>16009</v>
      </c>
      <c r="M141" s="453" t="s">
        <v>16010</v>
      </c>
      <c r="N141" s="453" t="s">
        <v>15511</v>
      </c>
      <c r="O141" s="453" t="s">
        <v>15807</v>
      </c>
      <c r="P141" s="454" t="s">
        <v>499</v>
      </c>
      <c r="Q141" s="455" t="s">
        <v>15513</v>
      </c>
      <c r="R141" s="217" t="str">
        <f ca="1">IF(ISERROR($V141),"",OFFSET('Smelter Look-up'!$C$4,$V141-4,0)&amp;"")</f>
        <v/>
      </c>
      <c r="S141" s="225" t="str">
        <f t="shared" ca="1" si="21"/>
        <v>ID</v>
      </c>
      <c r="T141" s="225" t="str">
        <f ca="1">IF(B141="","",IF(ISERROR(MATCH($J141,SorP!$B$1:$B$6230,0)),"",INDIRECT("'SorP'!$A$"&amp;MATCH($J141,SorP!$B$1:$B$6230,0))))</f>
        <v>ID-KR</v>
      </c>
      <c r="U141" s="241"/>
      <c r="V141" s="275" t="e">
        <f>IF(C141="",NA(),MATCH($B141&amp;$C141,'Smelter Look-up'!$J:$J,0))</f>
        <v>#N/A</v>
      </c>
      <c r="W141" s="276"/>
      <c r="X141" s="276">
        <f t="shared" si="22"/>
        <v>0</v>
      </c>
      <c r="Y141" s="276"/>
      <c r="Z141" s="276"/>
      <c r="AB141" s="278" t="str">
        <f t="shared" si="23"/>
        <v>TinPT Karimun Mining</v>
      </c>
    </row>
    <row r="142" spans="1:28" s="277" customFormat="1" ht="61.9">
      <c r="A142" s="216" t="s">
        <v>800</v>
      </c>
      <c r="B142" s="217" t="s">
        <v>1154</v>
      </c>
      <c r="C142" s="450" t="s">
        <v>643</v>
      </c>
      <c r="D142" s="217"/>
      <c r="E142" s="217" t="s">
        <v>1128</v>
      </c>
      <c r="F142" s="217" t="s">
        <v>800</v>
      </c>
      <c r="G142" s="217" t="s">
        <v>13577</v>
      </c>
      <c r="H142" s="451" t="s">
        <v>16011</v>
      </c>
      <c r="I142" s="452" t="s">
        <v>1805</v>
      </c>
      <c r="J142" s="452" t="s">
        <v>13183</v>
      </c>
      <c r="K142" s="453" t="s">
        <v>16012</v>
      </c>
      <c r="L142" s="453" t="s">
        <v>16013</v>
      </c>
      <c r="M142" s="453" t="s">
        <v>16014</v>
      </c>
      <c r="N142" s="453" t="s">
        <v>16015</v>
      </c>
      <c r="O142" s="453" t="s">
        <v>16016</v>
      </c>
      <c r="P142" s="454" t="s">
        <v>499</v>
      </c>
      <c r="Q142" s="455" t="s">
        <v>15513</v>
      </c>
      <c r="R142" s="217" t="str">
        <f ca="1">IF(ISERROR($V142),"",OFFSET('Smelter Look-up'!$C$4,$V142-4,0)&amp;"")</f>
        <v>PT Mitra Stania Prima</v>
      </c>
      <c r="S142" s="225" t="str">
        <f t="shared" ca="1" si="21"/>
        <v>ID</v>
      </c>
      <c r="T142" s="225" t="str">
        <f ca="1">IF(B142="","",IF(ISERROR(MATCH($J142,SorP!$B$1:$B$6230,0)),"",INDIRECT("'SorP'!$A$"&amp;MATCH($J142,SorP!$B$1:$B$6230,0))))</f>
        <v>ID-BB</v>
      </c>
      <c r="U142" s="241"/>
      <c r="V142" s="275">
        <f>IF(C142="",NA(),MATCH($B142&amp;$C142,'Smelter Look-up'!$J:$J,0))</f>
        <v>441</v>
      </c>
      <c r="W142" s="276"/>
      <c r="X142" s="276">
        <f t="shared" si="22"/>
        <v>0</v>
      </c>
      <c r="Y142" s="276"/>
      <c r="Z142" s="276"/>
      <c r="AB142" s="278" t="str">
        <f t="shared" si="23"/>
        <v>TinPT Mitra Stania Prima</v>
      </c>
    </row>
    <row r="143" spans="1:28" s="277" customFormat="1" ht="49.5">
      <c r="A143" s="216" t="s">
        <v>16017</v>
      </c>
      <c r="B143" s="217" t="s">
        <v>1154</v>
      </c>
      <c r="C143" s="450" t="s">
        <v>16018</v>
      </c>
      <c r="D143" s="217"/>
      <c r="E143" s="217" t="s">
        <v>1128</v>
      </c>
      <c r="F143" s="217" t="s">
        <v>16017</v>
      </c>
      <c r="G143" s="217" t="s">
        <v>13577</v>
      </c>
      <c r="H143" s="451" t="s">
        <v>16019</v>
      </c>
      <c r="I143" s="452" t="s">
        <v>1805</v>
      </c>
      <c r="J143" s="452" t="s">
        <v>13183</v>
      </c>
      <c r="K143" s="453" t="s">
        <v>16020</v>
      </c>
      <c r="L143" s="453" t="s">
        <v>16021</v>
      </c>
      <c r="M143" s="453" t="s">
        <v>16022</v>
      </c>
      <c r="N143" s="453" t="s">
        <v>15511</v>
      </c>
      <c r="O143" s="453" t="s">
        <v>15807</v>
      </c>
      <c r="P143" s="454" t="s">
        <v>499</v>
      </c>
      <c r="Q143" s="455" t="s">
        <v>15513</v>
      </c>
      <c r="R143" s="217" t="str">
        <f ca="1">IF(ISERROR($V143),"",OFFSET('Smelter Look-up'!$C$4,$V143-4,0)&amp;"")</f>
        <v/>
      </c>
      <c r="S143" s="225" t="str">
        <f t="shared" ca="1" si="21"/>
        <v>ID</v>
      </c>
      <c r="T143" s="225" t="str">
        <f ca="1">IF(B143="","",IF(ISERROR(MATCH($J143,SorP!$B$1:$B$6230,0)),"",INDIRECT("'SorP'!$A$"&amp;MATCH($J143,SorP!$B$1:$B$6230,0))))</f>
        <v>ID-BB</v>
      </c>
      <c r="U143" s="241"/>
      <c r="V143" s="275" t="e">
        <f>IF(C143="",NA(),MATCH($B143&amp;$C143,'Smelter Look-up'!$J:$J,0))</f>
        <v>#N/A</v>
      </c>
      <c r="W143" s="276"/>
      <c r="X143" s="276">
        <f t="shared" si="22"/>
        <v>0</v>
      </c>
      <c r="Y143" s="276"/>
      <c r="Z143" s="276"/>
      <c r="AB143" s="278" t="str">
        <f t="shared" si="23"/>
        <v>TinPT Panca Mega Persada</v>
      </c>
    </row>
    <row r="144" spans="1:28" s="277" customFormat="1" ht="49.5">
      <c r="A144" s="216" t="s">
        <v>16023</v>
      </c>
      <c r="B144" s="217" t="s">
        <v>1154</v>
      </c>
      <c r="C144" s="450" t="s">
        <v>16024</v>
      </c>
      <c r="D144" s="217"/>
      <c r="E144" s="217" t="s">
        <v>1128</v>
      </c>
      <c r="F144" s="217" t="s">
        <v>16023</v>
      </c>
      <c r="G144" s="217" t="s">
        <v>13577</v>
      </c>
      <c r="H144" s="451" t="s">
        <v>16025</v>
      </c>
      <c r="I144" s="452" t="s">
        <v>15651</v>
      </c>
      <c r="J144" s="452" t="s">
        <v>13183</v>
      </c>
      <c r="K144" s="453" t="s">
        <v>16026</v>
      </c>
      <c r="L144" s="453" t="s">
        <v>16027</v>
      </c>
      <c r="M144" s="453" t="s">
        <v>16028</v>
      </c>
      <c r="N144" s="453" t="s">
        <v>15511</v>
      </c>
      <c r="O144" s="453" t="s">
        <v>15807</v>
      </c>
      <c r="P144" s="454" t="s">
        <v>499</v>
      </c>
      <c r="Q144" s="455" t="s">
        <v>15513</v>
      </c>
      <c r="R144" s="217" t="str">
        <f ca="1">IF(ISERROR($V144),"",OFFSET('Smelter Look-up'!$C$4,$V144-4,0)&amp;"")</f>
        <v/>
      </c>
      <c r="S144" s="225" t="str">
        <f t="shared" ca="1" si="21"/>
        <v>ID</v>
      </c>
      <c r="T144" s="225" t="str">
        <f ca="1">IF(B144="","",IF(ISERROR(MATCH($J144,SorP!$B$1:$B$6230,0)),"",INDIRECT("'SorP'!$A$"&amp;MATCH($J144,SorP!$B$1:$B$6230,0))))</f>
        <v>ID-BB</v>
      </c>
      <c r="U144" s="241"/>
      <c r="V144" s="275" t="e">
        <f>IF(C144="",NA(),MATCH($B144&amp;$C144,'Smelter Look-up'!$J:$J,0))</f>
        <v>#N/A</v>
      </c>
      <c r="W144" s="276"/>
      <c r="X144" s="276">
        <f t="shared" si="22"/>
        <v>0</v>
      </c>
      <c r="Y144" s="276"/>
      <c r="Z144" s="276"/>
      <c r="AB144" s="278" t="str">
        <f t="shared" si="23"/>
        <v>TinPT Prima Timah Utama</v>
      </c>
    </row>
    <row r="145" spans="1:28" s="277" customFormat="1" ht="61.9">
      <c r="A145" s="216" t="s">
        <v>801</v>
      </c>
      <c r="B145" s="217" t="s">
        <v>1154</v>
      </c>
      <c r="C145" s="450" t="s">
        <v>2262</v>
      </c>
      <c r="D145" s="217"/>
      <c r="E145" s="217" t="s">
        <v>1128</v>
      </c>
      <c r="F145" s="217" t="s">
        <v>801</v>
      </c>
      <c r="G145" s="217" t="s">
        <v>13577</v>
      </c>
      <c r="H145" s="451" t="s">
        <v>16029</v>
      </c>
      <c r="I145" s="452" t="s">
        <v>1805</v>
      </c>
      <c r="J145" s="452" t="s">
        <v>13183</v>
      </c>
      <c r="K145" s="453" t="s">
        <v>16030</v>
      </c>
      <c r="L145" s="453" t="s">
        <v>16031</v>
      </c>
      <c r="M145" s="453" t="s">
        <v>15554</v>
      </c>
      <c r="N145" s="453" t="s">
        <v>15511</v>
      </c>
      <c r="O145" s="453" t="s">
        <v>15655</v>
      </c>
      <c r="P145" s="454" t="s">
        <v>499</v>
      </c>
      <c r="Q145" s="455" t="s">
        <v>15513</v>
      </c>
      <c r="R145" s="217" t="str">
        <f ca="1">IF(ISERROR($V145),"",OFFSET('Smelter Look-up'!$C$4,$V145-4,0)&amp;"")</f>
        <v>PT Refined Bangka Tin</v>
      </c>
      <c r="S145" s="225" t="str">
        <f t="shared" ca="1" si="21"/>
        <v>ID</v>
      </c>
      <c r="T145" s="225" t="str">
        <f ca="1">IF(B145="","",IF(ISERROR(MATCH($J145,SorP!$B$1:$B$6230,0)),"",INDIRECT("'SorP'!$A$"&amp;MATCH($J145,SorP!$B$1:$B$6230,0))))</f>
        <v>ID-BB</v>
      </c>
      <c r="U145" s="241"/>
      <c r="V145" s="275">
        <f>IF(C145="",NA(),MATCH($B145&amp;$C145,'Smelter Look-up'!$J:$J,0))</f>
        <v>443</v>
      </c>
      <c r="W145" s="276"/>
      <c r="X145" s="276">
        <f t="shared" si="22"/>
        <v>0</v>
      </c>
      <c r="Y145" s="276"/>
      <c r="Z145" s="276"/>
      <c r="AB145" s="278" t="str">
        <f t="shared" si="23"/>
        <v>TinPT Refined Bangka Tin</v>
      </c>
    </row>
    <row r="146" spans="1:28" s="277" customFormat="1" ht="74.25">
      <c r="A146" s="216" t="s">
        <v>16032</v>
      </c>
      <c r="B146" s="217" t="s">
        <v>1154</v>
      </c>
      <c r="C146" s="450" t="s">
        <v>16033</v>
      </c>
      <c r="D146" s="217"/>
      <c r="E146" s="217" t="s">
        <v>1128</v>
      </c>
      <c r="F146" s="217" t="s">
        <v>16032</v>
      </c>
      <c r="G146" s="217" t="s">
        <v>13577</v>
      </c>
      <c r="H146" s="451" t="s">
        <v>16034</v>
      </c>
      <c r="I146" s="452" t="s">
        <v>15651</v>
      </c>
      <c r="J146" s="452" t="s">
        <v>13183</v>
      </c>
      <c r="K146" s="453" t="s">
        <v>16035</v>
      </c>
      <c r="L146" s="453" t="s">
        <v>16036</v>
      </c>
      <c r="M146" s="453" t="s">
        <v>16037</v>
      </c>
      <c r="N146" s="453" t="s">
        <v>16038</v>
      </c>
      <c r="O146" s="453" t="s">
        <v>15655</v>
      </c>
      <c r="P146" s="454" t="s">
        <v>499</v>
      </c>
      <c r="Q146" s="455" t="s">
        <v>15513</v>
      </c>
      <c r="R146" s="217" t="str">
        <f ca="1">IF(ISERROR($V146),"",OFFSET('Smelter Look-up'!$C$4,$V146-4,0)&amp;"")</f>
        <v/>
      </c>
      <c r="S146" s="225" t="str">
        <f t="shared" ca="1" si="21"/>
        <v>ID</v>
      </c>
      <c r="T146" s="225" t="str">
        <f ca="1">IF(B146="","",IF(ISERROR(MATCH($J146,SorP!$B$1:$B$6230,0)),"",INDIRECT("'SorP'!$A$"&amp;MATCH($J146,SorP!$B$1:$B$6230,0))))</f>
        <v>ID-BB</v>
      </c>
      <c r="U146" s="241"/>
      <c r="V146" s="275" t="e">
        <f>IF(C146="",NA(),MATCH($B146&amp;$C146,'Smelter Look-up'!$J:$J,0))</f>
        <v>#N/A</v>
      </c>
      <c r="W146" s="276"/>
      <c r="X146" s="276">
        <f t="shared" si="22"/>
        <v>0</v>
      </c>
      <c r="Y146" s="276"/>
      <c r="Z146" s="276"/>
      <c r="AB146" s="278" t="str">
        <f t="shared" si="23"/>
        <v>TinPT Sariwiguna Binasentosa</v>
      </c>
    </row>
    <row r="147" spans="1:28" s="277" customFormat="1" ht="49.5">
      <c r="A147" s="216" t="s">
        <v>16039</v>
      </c>
      <c r="B147" s="217" t="s">
        <v>1154</v>
      </c>
      <c r="C147" s="450" t="s">
        <v>16040</v>
      </c>
      <c r="D147" s="217"/>
      <c r="E147" s="217" t="s">
        <v>1128</v>
      </c>
      <c r="F147" s="217" t="s">
        <v>16039</v>
      </c>
      <c r="G147" s="217" t="s">
        <v>13577</v>
      </c>
      <c r="H147" s="451" t="s">
        <v>16041</v>
      </c>
      <c r="I147" s="452" t="s">
        <v>15651</v>
      </c>
      <c r="J147" s="452" t="s">
        <v>13183</v>
      </c>
      <c r="K147" s="453" t="s">
        <v>16042</v>
      </c>
      <c r="L147" s="453" t="s">
        <v>16043</v>
      </c>
      <c r="M147" s="453" t="s">
        <v>16044</v>
      </c>
      <c r="N147" s="453" t="s">
        <v>16045</v>
      </c>
      <c r="O147" s="453" t="s">
        <v>15655</v>
      </c>
      <c r="P147" s="454" t="s">
        <v>499</v>
      </c>
      <c r="Q147" s="455" t="s">
        <v>15513</v>
      </c>
      <c r="R147" s="217" t="str">
        <f ca="1">IF(ISERROR($V147),"",OFFSET('Smelter Look-up'!$C$4,$V147-4,0)&amp;"")</f>
        <v/>
      </c>
      <c r="S147" s="225" t="str">
        <f t="shared" ca="1" si="21"/>
        <v>ID</v>
      </c>
      <c r="T147" s="225" t="str">
        <f ca="1">IF(B147="","",IF(ISERROR(MATCH($J147,SorP!$B$1:$B$6230,0)),"",INDIRECT("'SorP'!$A$"&amp;MATCH($J147,SorP!$B$1:$B$6230,0))))</f>
        <v>ID-BB</v>
      </c>
      <c r="U147" s="241"/>
      <c r="V147" s="275" t="e">
        <f>IF(C147="",NA(),MATCH($B147&amp;$C147,'Smelter Look-up'!$J:$J,0))</f>
        <v>#N/A</v>
      </c>
      <c r="W147" s="276"/>
      <c r="X147" s="276">
        <f t="shared" si="22"/>
        <v>0</v>
      </c>
      <c r="Y147" s="276"/>
      <c r="Z147" s="276"/>
      <c r="AB147" s="278" t="str">
        <f t="shared" si="23"/>
        <v>TinPT Stanindo Inti Perkasa</v>
      </c>
    </row>
    <row r="148" spans="1:28" s="277" customFormat="1" ht="49.5">
      <c r="A148" s="216" t="s">
        <v>16046</v>
      </c>
      <c r="B148" s="217" t="s">
        <v>1154</v>
      </c>
      <c r="C148" s="450" t="s">
        <v>16047</v>
      </c>
      <c r="D148" s="217"/>
      <c r="E148" s="217" t="s">
        <v>1128</v>
      </c>
      <c r="F148" s="217" t="s">
        <v>16046</v>
      </c>
      <c r="G148" s="217" t="s">
        <v>13577</v>
      </c>
      <c r="H148" s="451" t="s">
        <v>16048</v>
      </c>
      <c r="I148" s="452" t="s">
        <v>15651</v>
      </c>
      <c r="J148" s="452" t="s">
        <v>13183</v>
      </c>
      <c r="K148" s="453" t="s">
        <v>16049</v>
      </c>
      <c r="L148" s="453" t="s">
        <v>16050</v>
      </c>
      <c r="M148" s="453" t="s">
        <v>16051</v>
      </c>
      <c r="N148" s="453" t="s">
        <v>15511</v>
      </c>
      <c r="O148" s="453" t="s">
        <v>15807</v>
      </c>
      <c r="P148" s="454" t="s">
        <v>499</v>
      </c>
      <c r="Q148" s="455" t="s">
        <v>15513</v>
      </c>
      <c r="R148" s="217" t="str">
        <f ca="1">IF(ISERROR($V148),"",OFFSET('Smelter Look-up'!$C$4,$V148-4,0)&amp;"")</f>
        <v/>
      </c>
      <c r="S148" s="225" t="str">
        <f t="shared" ca="1" si="21"/>
        <v>ID</v>
      </c>
      <c r="T148" s="225" t="str">
        <f ca="1">IF(B148="","",IF(ISERROR(MATCH($J148,SorP!$B$1:$B$6230,0)),"",INDIRECT("'SorP'!$A$"&amp;MATCH($J148,SorP!$B$1:$B$6230,0))))</f>
        <v>ID-BB</v>
      </c>
      <c r="U148" s="241"/>
      <c r="V148" s="275" t="e">
        <f>IF(C148="",NA(),MATCH($B148&amp;$C148,'Smelter Look-up'!$J:$J,0))</f>
        <v>#N/A</v>
      </c>
      <c r="W148" s="276"/>
      <c r="X148" s="276">
        <f t="shared" si="22"/>
        <v>0</v>
      </c>
      <c r="Y148" s="276"/>
      <c r="Z148" s="276"/>
      <c r="AB148" s="278" t="str">
        <f t="shared" si="23"/>
        <v>TinPT Sumber Jaya Indah</v>
      </c>
    </row>
    <row r="149" spans="1:28" s="277" customFormat="1" ht="49.5">
      <c r="A149" s="216" t="s">
        <v>824</v>
      </c>
      <c r="B149" s="217" t="s">
        <v>1154</v>
      </c>
      <c r="C149" s="450" t="s">
        <v>16052</v>
      </c>
      <c r="D149" s="217"/>
      <c r="E149" s="217" t="s">
        <v>1128</v>
      </c>
      <c r="F149" s="217" t="s">
        <v>824</v>
      </c>
      <c r="G149" s="217" t="s">
        <v>13577</v>
      </c>
      <c r="H149" s="451" t="s">
        <v>16053</v>
      </c>
      <c r="I149" s="452" t="s">
        <v>1832</v>
      </c>
      <c r="J149" s="452" t="s">
        <v>6250</v>
      </c>
      <c r="K149" s="453" t="s">
        <v>16054</v>
      </c>
      <c r="L149" s="453" t="s">
        <v>16055</v>
      </c>
      <c r="M149" s="453" t="s">
        <v>15554</v>
      </c>
      <c r="N149" s="453" t="s">
        <v>16056</v>
      </c>
      <c r="O149" s="453" t="s">
        <v>15655</v>
      </c>
      <c r="P149" s="454" t="s">
        <v>499</v>
      </c>
      <c r="Q149" s="455" t="s">
        <v>15513</v>
      </c>
      <c r="R149" s="217" t="str">
        <f ca="1">IF(ISERROR($V149),"",OFFSET('Smelter Look-up'!$C$4,$V149-4,0)&amp;"")</f>
        <v/>
      </c>
      <c r="S149" s="225" t="str">
        <f t="shared" ca="1" si="21"/>
        <v>ID</v>
      </c>
      <c r="T149" s="225" t="str">
        <f ca="1">IF(B149="","",IF(ISERROR(MATCH($J149,SorP!$B$1:$B$6230,0)),"",INDIRECT("'SorP'!$A$"&amp;MATCH($J149,SorP!$B$1:$B$6230,0))))</f>
        <v>ID-RI</v>
      </c>
      <c r="U149" s="241"/>
      <c r="V149" s="275" t="e">
        <f>IF(C149="",NA(),MATCH($B149&amp;$C149,'Smelter Look-up'!$J:$J,0))</f>
        <v>#N/A</v>
      </c>
      <c r="W149" s="276"/>
      <c r="X149" s="276">
        <f t="shared" si="22"/>
        <v>0</v>
      </c>
      <c r="Y149" s="276"/>
      <c r="Z149" s="276"/>
      <c r="AB149" s="278" t="str">
        <f t="shared" si="23"/>
        <v>TinPT Timah (Persero) Tbk Kundur</v>
      </c>
    </row>
    <row r="150" spans="1:28" s="277" customFormat="1" ht="24.75">
      <c r="A150" s="216" t="s">
        <v>802</v>
      </c>
      <c r="B150" s="217" t="s">
        <v>1154</v>
      </c>
      <c r="C150" s="450" t="s">
        <v>16057</v>
      </c>
      <c r="D150" s="217"/>
      <c r="E150" s="217" t="s">
        <v>1128</v>
      </c>
      <c r="F150" s="217" t="s">
        <v>802</v>
      </c>
      <c r="G150" s="217" t="s">
        <v>13577</v>
      </c>
      <c r="H150" s="451" t="s">
        <v>16058</v>
      </c>
      <c r="I150" s="452" t="s">
        <v>1834</v>
      </c>
      <c r="J150" s="452" t="s">
        <v>13183</v>
      </c>
      <c r="K150" s="216" t="s">
        <v>16059</v>
      </c>
      <c r="L150" s="216" t="s">
        <v>16060</v>
      </c>
      <c r="M150" s="216"/>
      <c r="N150" s="216" t="s">
        <v>16061</v>
      </c>
      <c r="O150" s="216" t="s">
        <v>16062</v>
      </c>
      <c r="P150" s="454" t="s">
        <v>499</v>
      </c>
      <c r="Q150" s="455"/>
      <c r="R150" s="217" t="str">
        <f ca="1">IF(ISERROR($V150),"",OFFSET('Smelter Look-up'!$C$4,$V150-4,0)&amp;"")</f>
        <v/>
      </c>
      <c r="S150" s="225" t="str">
        <f t="shared" ca="1" si="21"/>
        <v>ID</v>
      </c>
      <c r="T150" s="225" t="str">
        <f ca="1">IF(B150="","",IF(ISERROR(MATCH($J150,SorP!$B$1:$B$6230,0)),"",INDIRECT("'SorP'!$A$"&amp;MATCH($J150,SorP!$B$1:$B$6230,0))))</f>
        <v>ID-BB</v>
      </c>
      <c r="U150" s="241"/>
      <c r="V150" s="275" t="e">
        <f>IF(C150="",NA(),MATCH($B150&amp;$C150,'Smelter Look-up'!$J:$J,0))</f>
        <v>#N/A</v>
      </c>
      <c r="W150" s="276"/>
      <c r="X150" s="276">
        <f t="shared" si="22"/>
        <v>0</v>
      </c>
      <c r="Y150" s="276"/>
      <c r="Z150" s="276"/>
      <c r="AB150" s="278" t="str">
        <f t="shared" si="23"/>
        <v>TinPT Timah (Persero) Tbk Mentok</v>
      </c>
    </row>
    <row r="151" spans="1:28" s="277" customFormat="1" ht="37.15">
      <c r="A151" s="216" t="s">
        <v>16063</v>
      </c>
      <c r="B151" s="217" t="s">
        <v>1154</v>
      </c>
      <c r="C151" s="450" t="s">
        <v>16064</v>
      </c>
      <c r="D151" s="217"/>
      <c r="E151" s="217" t="s">
        <v>1128</v>
      </c>
      <c r="F151" s="217" t="s">
        <v>16063</v>
      </c>
      <c r="G151" s="217" t="s">
        <v>13577</v>
      </c>
      <c r="H151" s="451" t="s">
        <v>16065</v>
      </c>
      <c r="I151" s="452" t="s">
        <v>15651</v>
      </c>
      <c r="J151" s="452" t="s">
        <v>13183</v>
      </c>
      <c r="K151" s="453" t="s">
        <v>16066</v>
      </c>
      <c r="L151" s="453" t="s">
        <v>16067</v>
      </c>
      <c r="M151" s="453" t="s">
        <v>16068</v>
      </c>
      <c r="N151" s="453" t="s">
        <v>16069</v>
      </c>
      <c r="O151" s="453" t="s">
        <v>16070</v>
      </c>
      <c r="P151" s="454" t="s">
        <v>499</v>
      </c>
      <c r="Q151" s="455" t="s">
        <v>15513</v>
      </c>
      <c r="R151" s="217" t="str">
        <f ca="1">IF(ISERROR($V151),"",OFFSET('Smelter Look-up'!$C$4,$V151-4,0)&amp;"")</f>
        <v/>
      </c>
      <c r="S151" s="225" t="str">
        <f t="shared" ca="1" si="21"/>
        <v>ID</v>
      </c>
      <c r="T151" s="225" t="str">
        <f ca="1">IF(B151="","",IF(ISERROR(MATCH($J151,SorP!$B$1:$B$6230,0)),"",INDIRECT("'SorP'!$A$"&amp;MATCH($J151,SorP!$B$1:$B$6230,0))))</f>
        <v>ID-BB</v>
      </c>
      <c r="U151" s="241"/>
      <c r="V151" s="275" t="e">
        <f>IF(C151="",NA(),MATCH($B151&amp;$C151,'Smelter Look-up'!$J:$J,0))</f>
        <v>#N/A</v>
      </c>
      <c r="W151" s="276"/>
      <c r="X151" s="276">
        <f t="shared" si="22"/>
        <v>0</v>
      </c>
      <c r="Y151" s="276"/>
      <c r="Z151" s="276"/>
      <c r="AB151" s="278" t="str">
        <f t="shared" si="23"/>
        <v>TinPT Tinindo Inter Nusa</v>
      </c>
    </row>
    <row r="152" spans="1:28" s="277" customFormat="1" ht="24.75">
      <c r="A152" s="216" t="s">
        <v>16071</v>
      </c>
      <c r="B152" s="217" t="s">
        <v>1154</v>
      </c>
      <c r="C152" s="450" t="s">
        <v>16072</v>
      </c>
      <c r="D152" s="217"/>
      <c r="E152" s="217" t="s">
        <v>1128</v>
      </c>
      <c r="F152" s="217" t="s">
        <v>16071</v>
      </c>
      <c r="G152" s="217" t="s">
        <v>13577</v>
      </c>
      <c r="H152" s="451" t="s">
        <v>16073</v>
      </c>
      <c r="I152" s="452" t="s">
        <v>16074</v>
      </c>
      <c r="J152" s="452" t="s">
        <v>13183</v>
      </c>
      <c r="K152" s="453" t="s">
        <v>16075</v>
      </c>
      <c r="L152" s="453" t="s">
        <v>16076</v>
      </c>
      <c r="M152" s="453" t="s">
        <v>16077</v>
      </c>
      <c r="N152" s="453" t="s">
        <v>15511</v>
      </c>
      <c r="O152" s="453" t="s">
        <v>15807</v>
      </c>
      <c r="P152" s="454" t="s">
        <v>499</v>
      </c>
      <c r="Q152" s="455" t="s">
        <v>15513</v>
      </c>
      <c r="R152" s="217" t="str">
        <f ca="1">IF(ISERROR($V152),"",OFFSET('Smelter Look-up'!$C$4,$V152-4,0)&amp;"")</f>
        <v/>
      </c>
      <c r="S152" s="225" t="str">
        <f t="shared" ca="1" si="21"/>
        <v>ID</v>
      </c>
      <c r="T152" s="225" t="str">
        <f ca="1">IF(B152="","",IF(ISERROR(MATCH($J152,SorP!$B$1:$B$6230,0)),"",INDIRECT("'SorP'!$A$"&amp;MATCH($J152,SorP!$B$1:$B$6230,0))))</f>
        <v>ID-BB</v>
      </c>
      <c r="U152" s="241"/>
      <c r="V152" s="275" t="e">
        <f>IF(C152="",NA(),MATCH($B152&amp;$C152,'Smelter Look-up'!$J:$J,0))</f>
        <v>#N/A</v>
      </c>
      <c r="W152" s="276"/>
      <c r="X152" s="276">
        <f t="shared" si="22"/>
        <v>0</v>
      </c>
      <c r="Y152" s="276"/>
      <c r="Z152" s="276"/>
      <c r="AB152" s="278" t="str">
        <f t="shared" si="23"/>
        <v>TinPT Tommy Utama</v>
      </c>
    </row>
    <row r="153" spans="1:28" s="277" customFormat="1" ht="24.75">
      <c r="A153" s="216" t="s">
        <v>738</v>
      </c>
      <c r="B153" s="217" t="s">
        <v>1153</v>
      </c>
      <c r="C153" s="450" t="s">
        <v>12759</v>
      </c>
      <c r="D153" s="217"/>
      <c r="E153" s="217" t="s">
        <v>1121</v>
      </c>
      <c r="F153" s="217" t="s">
        <v>738</v>
      </c>
      <c r="G153" s="217" t="s">
        <v>13577</v>
      </c>
      <c r="H153" s="451" t="s">
        <v>16078</v>
      </c>
      <c r="I153" s="452" t="s">
        <v>1674</v>
      </c>
      <c r="J153" s="452" t="s">
        <v>1653</v>
      </c>
      <c r="K153" s="453" t="s">
        <v>16079</v>
      </c>
      <c r="L153" s="453" t="s">
        <v>16080</v>
      </c>
      <c r="M153" s="453" t="s">
        <v>15878</v>
      </c>
      <c r="N153" s="453" t="s">
        <v>15511</v>
      </c>
      <c r="O153" s="453" t="s">
        <v>15533</v>
      </c>
      <c r="P153" s="454"/>
      <c r="Q153" s="455" t="s">
        <v>15520</v>
      </c>
      <c r="R153" s="217" t="str">
        <f ca="1">IF(ISERROR($V153),"",OFFSET('Smelter Look-up'!$C$4,$V153-4,0)&amp;"")</f>
        <v>PX Precinox S.A.</v>
      </c>
      <c r="S153" s="225" t="str">
        <f t="shared" ca="1" si="21"/>
        <v>CH</v>
      </c>
      <c r="T153" s="225" t="str">
        <f ca="1">IF(B153="","",IF(ISERROR(MATCH($J153,SorP!$B$1:$B$6230,0)),"",INDIRECT("'SorP'!$A$"&amp;MATCH($J153,SorP!$B$1:$B$6230,0))))</f>
        <v>CH-NE</v>
      </c>
      <c r="U153" s="241"/>
      <c r="V153" s="275">
        <f>IF(C153="",NA(),MATCH($B153&amp;$C153,'Smelter Look-up'!$J:$J,0))</f>
        <v>194</v>
      </c>
      <c r="W153" s="276"/>
      <c r="X153" s="276">
        <f t="shared" si="22"/>
        <v>0</v>
      </c>
      <c r="Y153" s="276"/>
      <c r="Z153" s="276"/>
      <c r="AB153" s="278" t="str">
        <f t="shared" si="23"/>
        <v>GoldPX Precinox S.A.</v>
      </c>
    </row>
    <row r="154" spans="1:28" s="277" customFormat="1" ht="24.75">
      <c r="A154" s="216" t="s">
        <v>777</v>
      </c>
      <c r="B154" s="217" t="s">
        <v>1155</v>
      </c>
      <c r="C154" s="450" t="s">
        <v>840</v>
      </c>
      <c r="D154" s="217"/>
      <c r="E154" s="217" t="s">
        <v>2576</v>
      </c>
      <c r="F154" s="217" t="s">
        <v>777</v>
      </c>
      <c r="G154" s="217" t="s">
        <v>13577</v>
      </c>
      <c r="H154" s="451" t="s">
        <v>16081</v>
      </c>
      <c r="I154" s="452" t="s">
        <v>16082</v>
      </c>
      <c r="J154" s="452" t="s">
        <v>1768</v>
      </c>
      <c r="K154" s="453" t="s">
        <v>16083</v>
      </c>
      <c r="L154" s="453" t="s">
        <v>16084</v>
      </c>
      <c r="M154" s="453" t="s">
        <v>16085</v>
      </c>
      <c r="N154" s="453" t="s">
        <v>15740</v>
      </c>
      <c r="O154" s="453" t="s">
        <v>15519</v>
      </c>
      <c r="P154" s="454" t="s">
        <v>498</v>
      </c>
      <c r="Q154" s="455" t="s">
        <v>15520</v>
      </c>
      <c r="R154" s="217" t="str">
        <f ca="1">IF(ISERROR($V154),"",OFFSET('Smelter Look-up'!$C$4,$V154-4,0)&amp;"")</f>
        <v>QuantumClean</v>
      </c>
      <c r="S154" s="225" t="str">
        <f t="shared" ca="1" si="21"/>
        <v>US</v>
      </c>
      <c r="T154" s="225" t="str">
        <f ca="1">IF(B154="","",IF(ISERROR(MATCH($J154,SorP!$B$1:$B$6230,0)),"",INDIRECT("'SorP'!$A$"&amp;MATCH($J154,SorP!$B$1:$B$6230,0))))</f>
        <v>US-CA</v>
      </c>
      <c r="U154" s="241"/>
      <c r="V154" s="275">
        <f>IF(C154="",NA(),MATCH($B154&amp;$C154,'Smelter Look-up'!$J:$J,0))</f>
        <v>336</v>
      </c>
      <c r="W154" s="276"/>
      <c r="X154" s="276">
        <f t="shared" si="22"/>
        <v>0</v>
      </c>
      <c r="Y154" s="276"/>
      <c r="Z154" s="276"/>
      <c r="AB154" s="278" t="str">
        <f t="shared" si="23"/>
        <v>TantalumQuantumClean</v>
      </c>
    </row>
    <row r="155" spans="1:28" s="277" customFormat="1" ht="20.25">
      <c r="A155" s="216" t="s">
        <v>739</v>
      </c>
      <c r="B155" s="217" t="s">
        <v>1153</v>
      </c>
      <c r="C155" s="450" t="s">
        <v>2263</v>
      </c>
      <c r="D155" s="217"/>
      <c r="E155" s="217" t="s">
        <v>916</v>
      </c>
      <c r="F155" s="217" t="s">
        <v>739</v>
      </c>
      <c r="G155" s="217" t="s">
        <v>13577</v>
      </c>
      <c r="H155" s="451" t="s">
        <v>16086</v>
      </c>
      <c r="I155" s="452" t="s">
        <v>1675</v>
      </c>
      <c r="J155" s="452" t="s">
        <v>1676</v>
      </c>
      <c r="K155" s="453" t="s">
        <v>16087</v>
      </c>
      <c r="L155" s="453" t="s">
        <v>16088</v>
      </c>
      <c r="M155" s="453" t="s">
        <v>16089</v>
      </c>
      <c r="N155" s="453" t="s">
        <v>15511</v>
      </c>
      <c r="O155" s="453" t="s">
        <v>15533</v>
      </c>
      <c r="P155" s="454"/>
      <c r="Q155" s="455" t="s">
        <v>15520</v>
      </c>
      <c r="R155" s="217" t="str">
        <f ca="1">IF(ISERROR($V155),"",OFFSET('Smelter Look-up'!$C$4,$V155-4,0)&amp;"")</f>
        <v>Rand Refinery (Pty) Ltd.</v>
      </c>
      <c r="S155" s="225" t="str">
        <f t="shared" ca="1" si="21"/>
        <v>ZA</v>
      </c>
      <c r="T155" s="225" t="str">
        <f ca="1">IF(B155="","",IF(ISERROR(MATCH($J155,SorP!$B$1:$B$6230,0)),"",INDIRECT("'SorP'!$A$"&amp;MATCH($J155,SorP!$B$1:$B$6230,0))))</f>
        <v>ZA-GT</v>
      </c>
      <c r="U155" s="241"/>
      <c r="V155" s="275">
        <f>IF(C155="",NA(),MATCH($B155&amp;$C155,'Smelter Look-up'!$J:$J,0))</f>
        <v>197</v>
      </c>
      <c r="W155" s="276"/>
      <c r="X155" s="276">
        <f t="shared" si="22"/>
        <v>0</v>
      </c>
      <c r="Y155" s="276"/>
      <c r="Z155" s="276"/>
      <c r="AB155" s="278" t="str">
        <f t="shared" si="23"/>
        <v>GoldRand Refinery (Pty) Ltd.</v>
      </c>
    </row>
    <row r="156" spans="1:28" s="277" customFormat="1" ht="74.25">
      <c r="A156" s="216" t="s">
        <v>778</v>
      </c>
      <c r="B156" s="217" t="s">
        <v>1155</v>
      </c>
      <c r="C156" s="450" t="s">
        <v>16090</v>
      </c>
      <c r="D156" s="217"/>
      <c r="E156" s="217" t="s">
        <v>1123</v>
      </c>
      <c r="F156" s="217" t="s">
        <v>778</v>
      </c>
      <c r="G156" s="217" t="s">
        <v>13577</v>
      </c>
      <c r="H156" s="451" t="s">
        <v>16091</v>
      </c>
      <c r="I156" s="452" t="s">
        <v>1769</v>
      </c>
      <c r="J156" s="452" t="s">
        <v>15580</v>
      </c>
      <c r="K156" s="453" t="s">
        <v>16092</v>
      </c>
      <c r="L156" s="453" t="s">
        <v>16093</v>
      </c>
      <c r="M156" s="453" t="s">
        <v>16094</v>
      </c>
      <c r="N156" s="453" t="s">
        <v>15542</v>
      </c>
      <c r="O156" s="453" t="s">
        <v>15909</v>
      </c>
      <c r="P156" s="454" t="s">
        <v>499</v>
      </c>
      <c r="Q156" s="455" t="s">
        <v>15520</v>
      </c>
      <c r="R156" s="217" t="str">
        <f ca="1">IF(ISERROR($V156),"",OFFSET('Smelter Look-up'!$C$4,$V156-4,0)&amp;"")</f>
        <v/>
      </c>
      <c r="S156" s="225" t="str">
        <f t="shared" ca="1" si="21"/>
        <v>CN</v>
      </c>
      <c r="T156" s="225" t="str">
        <f ca="1">IF(B156="","",IF(ISERROR(MATCH($J156,SorP!$B$1:$B$6230,0)),"",INDIRECT("'SorP'!$A$"&amp;MATCH($J156,SorP!$B$1:$B$6230,0))))</f>
        <v/>
      </c>
      <c r="U156" s="241"/>
      <c r="V156" s="275" t="e">
        <f>IF(C156="",NA(),MATCH($B156&amp;$C156,'Smelter Look-up'!$J:$J,0))</f>
        <v>#N/A</v>
      </c>
      <c r="W156" s="276"/>
      <c r="X156" s="276">
        <f t="shared" si="22"/>
        <v>0</v>
      </c>
      <c r="Y156" s="276"/>
      <c r="Z156" s="276"/>
      <c r="AB156" s="278" t="str">
        <f t="shared" si="23"/>
        <v>TantalumRFH Tantalum Smeltery Co., Ltd./Yanling Jincheng Tantalum &amp; Niobium Co., Ltd.</v>
      </c>
    </row>
    <row r="157" spans="1:28" s="277" customFormat="1" ht="24.75">
      <c r="A157" s="216" t="s">
        <v>740</v>
      </c>
      <c r="B157" s="217" t="s">
        <v>1153</v>
      </c>
      <c r="C157" s="450" t="s">
        <v>936</v>
      </c>
      <c r="D157" s="217"/>
      <c r="E157" s="217" t="s">
        <v>1120</v>
      </c>
      <c r="F157" s="217" t="s">
        <v>740</v>
      </c>
      <c r="G157" s="217" t="s">
        <v>13577</v>
      </c>
      <c r="H157" s="451" t="s">
        <v>16095</v>
      </c>
      <c r="I157" s="452" t="s">
        <v>1677</v>
      </c>
      <c r="J157" s="452" t="s">
        <v>1633</v>
      </c>
      <c r="K157" s="453" t="s">
        <v>16096</v>
      </c>
      <c r="L157" s="453" t="s">
        <v>16097</v>
      </c>
      <c r="M157" s="453" t="s">
        <v>15565</v>
      </c>
      <c r="N157" s="453" t="s">
        <v>15542</v>
      </c>
      <c r="O157" s="453" t="s">
        <v>16098</v>
      </c>
      <c r="P157" s="454" t="s">
        <v>499</v>
      </c>
      <c r="Q157" s="455" t="s">
        <v>15513</v>
      </c>
      <c r="R157" s="217" t="str">
        <f ca="1">IF(ISERROR($V157),"",OFFSET('Smelter Look-up'!$C$4,$V157-4,0)&amp;"")</f>
        <v>Royal Canadian Mint</v>
      </c>
      <c r="S157" s="225" t="str">
        <f t="shared" ca="1" si="21"/>
        <v>CA</v>
      </c>
      <c r="T157" s="225" t="str">
        <f ca="1">IF(B157="","",IF(ISERROR(MATCH($J157,SorP!$B$1:$B$6230,0)),"",INDIRECT("'SorP'!$A$"&amp;MATCH($J157,SorP!$B$1:$B$6230,0))))</f>
        <v>CA-ON</v>
      </c>
      <c r="U157" s="241"/>
      <c r="V157" s="275">
        <f>IF(C157="",NA(),MATCH($B157&amp;$C157,'Smelter Look-up'!$J:$J,0))</f>
        <v>202</v>
      </c>
      <c r="W157" s="276"/>
      <c r="X157" s="276">
        <f t="shared" si="22"/>
        <v>0</v>
      </c>
      <c r="Y157" s="276"/>
      <c r="Z157" s="276"/>
      <c r="AB157" s="278" t="str">
        <f t="shared" si="23"/>
        <v>GoldRoyal Canadian Mint</v>
      </c>
    </row>
    <row r="158" spans="1:28" s="277" customFormat="1" ht="49.5">
      <c r="A158" s="216" t="s">
        <v>804</v>
      </c>
      <c r="B158" s="217" t="s">
        <v>1154</v>
      </c>
      <c r="C158" s="450" t="s">
        <v>803</v>
      </c>
      <c r="D158" s="217"/>
      <c r="E158" s="217" t="s">
        <v>2575</v>
      </c>
      <c r="F158" s="217" t="s">
        <v>804</v>
      </c>
      <c r="G158" s="217" t="s">
        <v>13577</v>
      </c>
      <c r="H158" s="451" t="s">
        <v>16099</v>
      </c>
      <c r="I158" s="452" t="s">
        <v>1736</v>
      </c>
      <c r="J158" s="452" t="s">
        <v>1736</v>
      </c>
      <c r="K158" s="453" t="s">
        <v>16100</v>
      </c>
      <c r="L158" s="453" t="s">
        <v>16101</v>
      </c>
      <c r="M158" s="453"/>
      <c r="N158" s="453" t="s">
        <v>15542</v>
      </c>
      <c r="O158" s="453" t="s">
        <v>15555</v>
      </c>
      <c r="P158" s="454" t="s">
        <v>499</v>
      </c>
      <c r="Q158" s="455" t="s">
        <v>15513</v>
      </c>
      <c r="R158" s="217" t="str">
        <f ca="1">IF(ISERROR($V158),"",OFFSET('Smelter Look-up'!$C$4,$V158-4,0)&amp;"")</f>
        <v>Rui Da Hung</v>
      </c>
      <c r="S158" s="225" t="str">
        <f t="shared" ca="1" si="21"/>
        <v>TW</v>
      </c>
      <c r="T158" s="225" t="str">
        <f ca="1">IF(B158="","",IF(ISERROR(MATCH($J158,SorP!$B$1:$B$6230,0)),"",INDIRECT("'SorP'!$A$"&amp;MATCH($J158,SorP!$B$1:$B$6230,0))))</f>
        <v>TW-TAO</v>
      </c>
      <c r="U158" s="241"/>
      <c r="V158" s="275">
        <f>IF(C158="",NA(),MATCH($B158&amp;$C158,'Smelter Look-up'!$J:$J,0))</f>
        <v>450</v>
      </c>
      <c r="W158" s="276"/>
      <c r="X158" s="276">
        <f t="shared" si="22"/>
        <v>0</v>
      </c>
      <c r="Y158" s="276"/>
      <c r="Z158" s="276"/>
      <c r="AB158" s="278" t="str">
        <f t="shared" si="23"/>
        <v>TinRui Da Hung</v>
      </c>
    </row>
    <row r="159" spans="1:28" s="277" customFormat="1" ht="24.75">
      <c r="A159" s="468" t="s">
        <v>741</v>
      </c>
      <c r="B159" s="217" t="s">
        <v>1153</v>
      </c>
      <c r="C159" s="450" t="s">
        <v>1188</v>
      </c>
      <c r="D159" s="217"/>
      <c r="E159" s="217" t="s">
        <v>2576</v>
      </c>
      <c r="F159" s="217" t="s">
        <v>741</v>
      </c>
      <c r="G159" s="217" t="s">
        <v>13577</v>
      </c>
      <c r="H159" s="451" t="s">
        <v>14249</v>
      </c>
      <c r="I159" s="452" t="s">
        <v>1678</v>
      </c>
      <c r="J159" s="452" t="s">
        <v>1679</v>
      </c>
      <c r="K159" s="453" t="s">
        <v>14249</v>
      </c>
      <c r="L159" s="453" t="s">
        <v>14249</v>
      </c>
      <c r="M159" s="453" t="s">
        <v>14249</v>
      </c>
      <c r="N159" s="453" t="s">
        <v>14249</v>
      </c>
      <c r="O159" s="453" t="s">
        <v>14249</v>
      </c>
      <c r="P159" s="454" t="s">
        <v>14249</v>
      </c>
      <c r="Q159" s="455" t="s">
        <v>14249</v>
      </c>
      <c r="R159" s="217" t="str">
        <f ca="1">IF(ISERROR($V159),"",OFFSET('Smelter Look-up'!$C$4,$V159-4,0)&amp;"")</f>
        <v>Sabin Metal Corp.</v>
      </c>
      <c r="S159" s="225" t="str">
        <f t="shared" ca="1" si="21"/>
        <v>US</v>
      </c>
      <c r="T159" s="225" t="str">
        <f ca="1">IF(B159="","",IF(ISERROR(MATCH($J159,SorP!$B$1:$B$6230,0)),"",INDIRECT("'SorP'!$A$"&amp;MATCH($J159,SorP!$B$1:$B$6230,0))))</f>
        <v>US-ND</v>
      </c>
      <c r="U159" s="241"/>
      <c r="V159" s="275">
        <f>IF(C159="",NA(),MATCH($B159&amp;$C159,'Smelter Look-up'!$J:$J,0))</f>
        <v>204</v>
      </c>
      <c r="W159" s="276"/>
      <c r="X159" s="276">
        <f t="shared" si="22"/>
        <v>0</v>
      </c>
      <c r="Y159" s="276"/>
      <c r="Z159" s="276"/>
      <c r="AB159" s="278" t="str">
        <f t="shared" si="23"/>
        <v>GoldSabin Metal Corp.</v>
      </c>
    </row>
    <row r="160" spans="1:28" s="277" customFormat="1" ht="74.25">
      <c r="A160" s="468" t="s">
        <v>1432</v>
      </c>
      <c r="B160" s="217" t="s">
        <v>1153</v>
      </c>
      <c r="C160" s="450" t="s">
        <v>1431</v>
      </c>
      <c r="D160" s="217"/>
      <c r="E160" s="217" t="s">
        <v>1134</v>
      </c>
      <c r="F160" s="217" t="s">
        <v>1432</v>
      </c>
      <c r="G160" s="217" t="s">
        <v>13577</v>
      </c>
      <c r="H160" s="451" t="s">
        <v>16102</v>
      </c>
      <c r="I160" s="452" t="s">
        <v>1601</v>
      </c>
      <c r="J160" s="452" t="s">
        <v>13197</v>
      </c>
      <c r="K160" s="453" t="s">
        <v>16103</v>
      </c>
      <c r="L160" s="453" t="s">
        <v>16104</v>
      </c>
      <c r="M160" s="453" t="s">
        <v>16105</v>
      </c>
      <c r="N160" s="453" t="s">
        <v>15740</v>
      </c>
      <c r="O160" s="453" t="s">
        <v>15519</v>
      </c>
      <c r="P160" s="454" t="s">
        <v>498</v>
      </c>
      <c r="Q160" s="455" t="s">
        <v>15520</v>
      </c>
      <c r="R160" s="217" t="str">
        <f ca="1">IF(ISERROR($V160),"",OFFSET('Smelter Look-up'!$C$4,$V160-4,0)&amp;"")</f>
        <v>Samduck Precious Metals</v>
      </c>
      <c r="S160" s="225" t="str">
        <f t="shared" ca="1" si="21"/>
        <v>KR</v>
      </c>
      <c r="T160" s="225" t="str">
        <f ca="1">IF(B160="","",IF(ISERROR(MATCH($J160,SorP!$B$1:$B$6230,0)),"",INDIRECT("'SorP'!$A$"&amp;MATCH($J160,SorP!$B$1:$B$6230,0))))</f>
        <v>KR-28</v>
      </c>
      <c r="U160" s="241"/>
      <c r="V160" s="275">
        <f>IF(C160="",NA(),MATCH($B160&amp;$C160,'Smelter Look-up'!$J:$J,0))</f>
        <v>210</v>
      </c>
      <c r="W160" s="276"/>
      <c r="X160" s="276">
        <f t="shared" si="22"/>
        <v>0</v>
      </c>
      <c r="Y160" s="276"/>
      <c r="Z160" s="276"/>
      <c r="AB160" s="278" t="str">
        <f t="shared" si="23"/>
        <v>GoldSamduck Precious Metals</v>
      </c>
    </row>
    <row r="161" spans="1:28" s="277" customFormat="1" ht="20.25">
      <c r="A161" s="468" t="s">
        <v>742</v>
      </c>
      <c r="B161" s="217" t="s">
        <v>1153</v>
      </c>
      <c r="C161" s="450" t="s">
        <v>2587</v>
      </c>
      <c r="D161" s="217"/>
      <c r="E161" s="217" t="s">
        <v>1134</v>
      </c>
      <c r="F161" s="217" t="s">
        <v>742</v>
      </c>
      <c r="G161" s="217" t="s">
        <v>13577</v>
      </c>
      <c r="H161" s="451" t="s">
        <v>14249</v>
      </c>
      <c r="I161" s="452" t="s">
        <v>1682</v>
      </c>
      <c r="J161" s="452" t="s">
        <v>13204</v>
      </c>
      <c r="K161" s="453" t="s">
        <v>14249</v>
      </c>
      <c r="L161" s="453" t="s">
        <v>14249</v>
      </c>
      <c r="M161" s="453" t="s">
        <v>14249</v>
      </c>
      <c r="N161" s="453" t="s">
        <v>14249</v>
      </c>
      <c r="O161" s="453" t="s">
        <v>14249</v>
      </c>
      <c r="P161" s="454" t="s">
        <v>14249</v>
      </c>
      <c r="Q161" s="455" t="s">
        <v>14249</v>
      </c>
      <c r="R161" s="217" t="str">
        <f ca="1">IF(ISERROR($V161),"",OFFSET('Smelter Look-up'!$C$4,$V161-4,0)&amp;"")</f>
        <v>Samwon Metals Corp.</v>
      </c>
      <c r="S161" s="225" t="str">
        <f t="shared" ca="1" si="21"/>
        <v>KR</v>
      </c>
      <c r="T161" s="225" t="str">
        <f ca="1">IF(B161="","",IF(ISERROR(MATCH($J161,SorP!$B$1:$B$6230,0)),"",INDIRECT("'SorP'!$A$"&amp;MATCH($J161,SorP!$B$1:$B$6230,0))))</f>
        <v>KR-48</v>
      </c>
      <c r="U161" s="241"/>
      <c r="V161" s="275">
        <f>IF(C161="",NA(),MATCH($B161&amp;$C161,'Smelter Look-up'!$J:$J,0))</f>
        <v>211</v>
      </c>
      <c r="W161" s="276"/>
      <c r="X161" s="276">
        <f t="shared" si="22"/>
        <v>0</v>
      </c>
      <c r="Y161" s="276"/>
      <c r="Z161" s="276"/>
      <c r="AB161" s="278" t="str">
        <f t="shared" si="23"/>
        <v>GoldSamwon Metals Corp.</v>
      </c>
    </row>
    <row r="162" spans="1:28" s="277" customFormat="1" ht="20.25">
      <c r="A162" s="469" t="s">
        <v>16106</v>
      </c>
      <c r="B162" s="459" t="s">
        <v>1153</v>
      </c>
      <c r="C162" s="450" t="s">
        <v>16107</v>
      </c>
      <c r="D162" s="217"/>
      <c r="E162" s="217" t="s">
        <v>1139</v>
      </c>
      <c r="F162" s="217" t="s">
        <v>16106</v>
      </c>
      <c r="G162" s="217" t="s">
        <v>15611</v>
      </c>
      <c r="H162" s="451">
        <v>0</v>
      </c>
      <c r="I162" s="452" t="s">
        <v>16108</v>
      </c>
      <c r="J162" s="452" t="s">
        <v>9194</v>
      </c>
      <c r="K162" s="453"/>
      <c r="L162" s="453"/>
      <c r="M162" s="453"/>
      <c r="N162" s="463" t="s">
        <v>15533</v>
      </c>
      <c r="O162" s="463" t="s">
        <v>15533</v>
      </c>
      <c r="P162" s="461"/>
      <c r="Q162" s="462" t="s">
        <v>15627</v>
      </c>
      <c r="R162" s="217" t="str">
        <f ca="1">IF(ISERROR($V162),"",OFFSET('Smelter Look-up'!$C$4,$V162-4,0)&amp;"")</f>
        <v/>
      </c>
      <c r="S162" s="225" t="str">
        <f t="shared" ca="1" si="21"/>
        <v>NL</v>
      </c>
      <c r="T162" s="225" t="str">
        <f ca="1">IF(B162="","",IF(ISERROR(MATCH($J162,SorP!$B$1:$B$6230,0)),"",INDIRECT("'SorP'!$A$"&amp;MATCH($J162,SorP!$B$1:$B$6230,0))))</f>
        <v>NL-NH</v>
      </c>
      <c r="U162" s="241"/>
      <c r="V162" s="275" t="e">
        <f>IF(C162="",NA(),MATCH($B162&amp;$C162,'Smelter Look-up'!$J:$J,0))</f>
        <v>#N/A</v>
      </c>
      <c r="W162" s="276"/>
      <c r="X162" s="276">
        <f t="shared" si="22"/>
        <v>0</v>
      </c>
      <c r="Y162" s="276"/>
      <c r="Z162" s="276"/>
      <c r="AB162" s="278" t="str">
        <f t="shared" si="23"/>
        <v>GoldSchone Edelmetaal B.V.</v>
      </c>
    </row>
    <row r="163" spans="1:28" s="277" customFormat="1" ht="24.75">
      <c r="A163" s="468" t="s">
        <v>743</v>
      </c>
      <c r="B163" s="217" t="s">
        <v>1153</v>
      </c>
      <c r="C163" s="450" t="s">
        <v>12760</v>
      </c>
      <c r="D163" s="217"/>
      <c r="E163" s="217" t="s">
        <v>1125</v>
      </c>
      <c r="F163" s="217" t="s">
        <v>743</v>
      </c>
      <c r="G163" s="217" t="s">
        <v>13577</v>
      </c>
      <c r="H163" s="451" t="s">
        <v>16109</v>
      </c>
      <c r="I163" s="452" t="s">
        <v>1683</v>
      </c>
      <c r="J163" s="452" t="s">
        <v>4834</v>
      </c>
      <c r="K163" s="453" t="s">
        <v>16110</v>
      </c>
      <c r="L163" s="453" t="s">
        <v>16111</v>
      </c>
      <c r="M163" s="453" t="s">
        <v>16112</v>
      </c>
      <c r="N163" s="453" t="s">
        <v>15740</v>
      </c>
      <c r="O163" s="453" t="s">
        <v>15519</v>
      </c>
      <c r="P163" s="454" t="s">
        <v>498</v>
      </c>
      <c r="Q163" s="455" t="s">
        <v>15513</v>
      </c>
      <c r="R163" s="217" t="str">
        <f ca="1">IF(ISERROR($V163),"",OFFSET('Smelter Look-up'!$C$4,$V163-4,0)&amp;"")</f>
        <v>SEMPSA Joyeria Plateria S.A.</v>
      </c>
      <c r="S163" s="225" t="str">
        <f t="shared" ca="1" si="21"/>
        <v>ES</v>
      </c>
      <c r="T163" s="225" t="str">
        <f ca="1">IF(B163="","",IF(ISERROR(MATCH($J163,SorP!$B$1:$B$6230,0)),"",INDIRECT("'SorP'!$A$"&amp;MATCH($J163,SorP!$B$1:$B$6230,0))))</f>
        <v>ES-MD</v>
      </c>
      <c r="U163" s="241"/>
      <c r="V163" s="275">
        <f>IF(C163="",NA(),MATCH($B163&amp;$C163,'Smelter Look-up'!$J:$J,0))</f>
        <v>214</v>
      </c>
      <c r="W163" s="276"/>
      <c r="X163" s="276">
        <f t="shared" si="22"/>
        <v>0</v>
      </c>
      <c r="Y163" s="276"/>
      <c r="Z163" s="276"/>
      <c r="AB163" s="278" t="str">
        <f t="shared" si="23"/>
        <v>GoldSEMPSA Joyeria Plateria S.A.</v>
      </c>
    </row>
    <row r="164" spans="1:28" s="277" customFormat="1" ht="24.75">
      <c r="A164" s="468" t="s">
        <v>1686</v>
      </c>
      <c r="B164" s="217" t="s">
        <v>1153</v>
      </c>
      <c r="C164" s="450" t="s">
        <v>1685</v>
      </c>
      <c r="D164" s="217"/>
      <c r="E164" s="217" t="s">
        <v>1123</v>
      </c>
      <c r="F164" s="217" t="s">
        <v>1686</v>
      </c>
      <c r="G164" s="217" t="s">
        <v>13577</v>
      </c>
      <c r="H164" s="451" t="s">
        <v>14249</v>
      </c>
      <c r="I164" s="452" t="s">
        <v>1687</v>
      </c>
      <c r="J164" s="452" t="s">
        <v>15723</v>
      </c>
      <c r="K164" s="453" t="s">
        <v>14249</v>
      </c>
      <c r="L164" s="453" t="s">
        <v>14249</v>
      </c>
      <c r="M164" s="453" t="s">
        <v>14249</v>
      </c>
      <c r="N164" s="453" t="s">
        <v>14249</v>
      </c>
      <c r="O164" s="453" t="s">
        <v>14249</v>
      </c>
      <c r="P164" s="454" t="s">
        <v>14249</v>
      </c>
      <c r="Q164" s="455" t="s">
        <v>14249</v>
      </c>
      <c r="R164" s="217" t="str">
        <f ca="1">IF(ISERROR($V164),"",OFFSET('Smelter Look-up'!$C$4,$V164-4,0)&amp;"")</f>
        <v>Shandong Tiancheng Biological Gold Industrial Co., Ltd.</v>
      </c>
      <c r="S164" s="225" t="str">
        <f t="shared" ca="1" si="21"/>
        <v>CN</v>
      </c>
      <c r="T164" s="225" t="str">
        <f ca="1">IF(B164="","",IF(ISERROR(MATCH($J164,SorP!$B$1:$B$6230,0)),"",INDIRECT("'SorP'!$A$"&amp;MATCH($J164,SorP!$B$1:$B$6230,0))))</f>
        <v/>
      </c>
      <c r="U164" s="241"/>
      <c r="V164" s="275">
        <f>IF(C164="",NA(),MATCH($B164&amp;$C164,'Smelter Look-up'!$J:$J,0))</f>
        <v>222</v>
      </c>
      <c r="W164" s="276"/>
      <c r="X164" s="276">
        <f t="shared" si="22"/>
        <v>0</v>
      </c>
      <c r="Y164" s="276"/>
      <c r="Z164" s="276"/>
      <c r="AB164" s="278" t="str">
        <f t="shared" si="23"/>
        <v>GoldShandong Tiancheng Biological Gold Industrial Co., Ltd.</v>
      </c>
    </row>
    <row r="165" spans="1:28" s="277" customFormat="1" ht="49.5">
      <c r="A165" s="468" t="s">
        <v>744</v>
      </c>
      <c r="B165" s="217" t="s">
        <v>1153</v>
      </c>
      <c r="C165" s="450" t="s">
        <v>2265</v>
      </c>
      <c r="D165" s="217"/>
      <c r="E165" s="217" t="s">
        <v>1123</v>
      </c>
      <c r="F165" s="217" t="s">
        <v>744</v>
      </c>
      <c r="G165" s="217" t="s">
        <v>13577</v>
      </c>
      <c r="H165" s="451" t="s">
        <v>16113</v>
      </c>
      <c r="I165" s="452" t="s">
        <v>1615</v>
      </c>
      <c r="J165" s="452" t="s">
        <v>15723</v>
      </c>
      <c r="K165" s="453" t="s">
        <v>16114</v>
      </c>
      <c r="L165" s="453" t="s">
        <v>16115</v>
      </c>
      <c r="M165" s="453" t="s">
        <v>15797</v>
      </c>
      <c r="N165" s="453" t="s">
        <v>16116</v>
      </c>
      <c r="O165" s="453" t="s">
        <v>15609</v>
      </c>
      <c r="P165" s="454" t="s">
        <v>499</v>
      </c>
      <c r="Q165" s="455" t="s">
        <v>15513</v>
      </c>
      <c r="R165" s="217" t="str">
        <f ca="1">IF(ISERROR($V165),"",OFFSET('Smelter Look-up'!$C$4,$V165-4,0)&amp;"")</f>
        <v>Shandong Zhaojin Gold &amp; Silver Refinery Co., Ltd.</v>
      </c>
      <c r="S165" s="225" t="str">
        <f t="shared" ca="1" si="21"/>
        <v>CN</v>
      </c>
      <c r="T165" s="225" t="str">
        <f ca="1">IF(B165="","",IF(ISERROR(MATCH($J165,SorP!$B$1:$B$6230,0)),"",INDIRECT("'SorP'!$A$"&amp;MATCH($J165,SorP!$B$1:$B$6230,0))))</f>
        <v/>
      </c>
      <c r="U165" s="241"/>
      <c r="V165" s="275">
        <f>IF(C165="",NA(),MATCH($B165&amp;$C165,'Smelter Look-up'!$J:$J,0))</f>
        <v>223</v>
      </c>
      <c r="W165" s="276"/>
      <c r="X165" s="276">
        <f t="shared" si="22"/>
        <v>0</v>
      </c>
      <c r="Y165" s="276"/>
      <c r="Z165" s="276"/>
      <c r="AB165" s="278" t="str">
        <f t="shared" si="23"/>
        <v>GoldShandong Zhaojin Gold &amp; Silver Refinery Co., Ltd.</v>
      </c>
    </row>
    <row r="166" spans="1:28" s="277" customFormat="1" ht="74.25">
      <c r="A166" s="468" t="s">
        <v>1415</v>
      </c>
      <c r="B166" s="217" t="s">
        <v>1153</v>
      </c>
      <c r="C166" s="450" t="s">
        <v>2266</v>
      </c>
      <c r="D166" s="217"/>
      <c r="E166" s="217" t="s">
        <v>1123</v>
      </c>
      <c r="F166" s="217" t="s">
        <v>1415</v>
      </c>
      <c r="G166" s="217" t="s">
        <v>13577</v>
      </c>
      <c r="H166" s="451" t="s">
        <v>16117</v>
      </c>
      <c r="I166" s="452" t="s">
        <v>1691</v>
      </c>
      <c r="J166" s="452" t="s">
        <v>16118</v>
      </c>
      <c r="K166" s="453" t="s">
        <v>16119</v>
      </c>
      <c r="L166" s="453" t="s">
        <v>16120</v>
      </c>
      <c r="M166" s="453" t="s">
        <v>15565</v>
      </c>
      <c r="N166" s="453" t="s">
        <v>15511</v>
      </c>
      <c r="O166" s="453" t="s">
        <v>15533</v>
      </c>
      <c r="P166" s="454"/>
      <c r="Q166" s="455" t="s">
        <v>15513</v>
      </c>
      <c r="R166" s="217" t="str">
        <f ca="1">IF(ISERROR($V166),"",OFFSET('Smelter Look-up'!$C$4,$V166-4,0)&amp;"")</f>
        <v>Sichuan Tianze Precious Metals Co., Ltd.</v>
      </c>
      <c r="S166" s="225" t="str">
        <f t="shared" ref="S166:S196" ca="1" si="24">IF(B166="","",IF(ISERROR(MATCH($E166,CL,0)),"Unknown",INDIRECT("'C'!$A$"&amp;MATCH($E166,CL,0)+1)))</f>
        <v>CN</v>
      </c>
      <c r="T166" s="225" t="str">
        <f ca="1">IF(B166="","",IF(ISERROR(MATCH($J166,SorP!$B$1:$B$6230,0)),"",INDIRECT("'SorP'!$A$"&amp;MATCH($J166,SorP!$B$1:$B$6230,0))))</f>
        <v/>
      </c>
      <c r="U166" s="241"/>
      <c r="V166" s="275">
        <f>IF(C166="",NA(),MATCH($B166&amp;$C166,'Smelter Look-up'!$J:$J,0))</f>
        <v>228</v>
      </c>
      <c r="W166" s="276"/>
      <c r="X166" s="276">
        <f t="shared" ref="X166:X196" si="25">IF(AND(C166="Smelter not listed",OR(LEN(D166)=0,LEN(E166)=0)),1,0)</f>
        <v>0</v>
      </c>
      <c r="Y166" s="276"/>
      <c r="Z166" s="276"/>
      <c r="AB166" s="278" t="str">
        <f t="shared" ref="AB166:AB196" si="26">B166&amp;C166</f>
        <v>GoldSichuan Tianze Precious Metals Co., Ltd.</v>
      </c>
    </row>
    <row r="167" spans="1:28" s="277" customFormat="1" ht="24.75">
      <c r="A167" s="470" t="s">
        <v>16121</v>
      </c>
      <c r="B167" s="217" t="s">
        <v>1153</v>
      </c>
      <c r="C167" s="450" t="s">
        <v>16122</v>
      </c>
      <c r="D167" s="217"/>
      <c r="E167" s="217" t="s">
        <v>2576</v>
      </c>
      <c r="F167" s="217" t="s">
        <v>16121</v>
      </c>
      <c r="G167" s="457" t="s">
        <v>15611</v>
      </c>
      <c r="H167" s="451">
        <v>0</v>
      </c>
      <c r="I167" s="452" t="s">
        <v>16123</v>
      </c>
      <c r="J167" s="452" t="s">
        <v>1647</v>
      </c>
      <c r="K167" s="453"/>
      <c r="L167" s="453"/>
      <c r="M167" s="453"/>
      <c r="N167" s="453"/>
      <c r="O167" s="453"/>
      <c r="P167" s="454"/>
      <c r="Q167" s="455"/>
      <c r="R167" s="217" t="str">
        <f ca="1">IF(ISERROR($V167),"",OFFSET('Smelter Look-up'!$C$4,$V167-4,0)&amp;"")</f>
        <v/>
      </c>
      <c r="S167" s="225" t="str">
        <f t="shared" ca="1" si="24"/>
        <v>US</v>
      </c>
      <c r="T167" s="225" t="str">
        <f ca="1">IF(B167="","",IF(ISERROR(MATCH($J167,SorP!$B$1:$B$6230,0)),"",INDIRECT("'SorP'!$A$"&amp;MATCH($J167,SorP!$B$1:$B$6230,0))))</f>
        <v>US-NY</v>
      </c>
      <c r="U167" s="241"/>
      <c r="V167" s="275" t="e">
        <f>IF(C167="",NA(),MATCH($B167&amp;$C167,'Smelter Look-up'!$J:$J,0))</f>
        <v>#N/A</v>
      </c>
      <c r="W167" s="276"/>
      <c r="X167" s="276">
        <f t="shared" si="25"/>
        <v>0</v>
      </c>
      <c r="Y167" s="276"/>
      <c r="Z167" s="276"/>
      <c r="AB167" s="278" t="str">
        <f t="shared" si="26"/>
        <v>GoldSo Accurate Group, Inc.</v>
      </c>
    </row>
    <row r="168" spans="1:28" s="277" customFormat="1" ht="24.75">
      <c r="A168" s="468" t="s">
        <v>745</v>
      </c>
      <c r="B168" s="217" t="s">
        <v>1153</v>
      </c>
      <c r="C168" s="450" t="s">
        <v>937</v>
      </c>
      <c r="D168" s="217"/>
      <c r="E168" s="217" t="s">
        <v>906</v>
      </c>
      <c r="F168" s="217" t="s">
        <v>745</v>
      </c>
      <c r="G168" s="217" t="s">
        <v>13577</v>
      </c>
      <c r="H168" s="451" t="s">
        <v>16124</v>
      </c>
      <c r="I168" s="452" t="s">
        <v>1692</v>
      </c>
      <c r="J168" s="452" t="s">
        <v>10284</v>
      </c>
      <c r="K168" s="453" t="s">
        <v>14249</v>
      </c>
      <c r="L168" s="453" t="s">
        <v>16125</v>
      </c>
      <c r="M168" s="453" t="s">
        <v>15537</v>
      </c>
      <c r="N168" s="453" t="s">
        <v>15511</v>
      </c>
      <c r="O168" s="453" t="s">
        <v>15533</v>
      </c>
      <c r="P168" s="454"/>
      <c r="Q168" s="455" t="s">
        <v>15520</v>
      </c>
      <c r="R168" s="217" t="str">
        <f ca="1">IF(ISERROR($V168),"",OFFSET('Smelter Look-up'!$C$4,$V168-4,0)&amp;"")</f>
        <v>SOE Shyolkovsky Factory of Secondary Precious Metals</v>
      </c>
      <c r="S168" s="225" t="str">
        <f t="shared" ca="1" si="24"/>
        <v>RU</v>
      </c>
      <c r="T168" s="225" t="str">
        <f ca="1">IF(B168="","",IF(ISERROR(MATCH($J168,SorP!$B$1:$B$6230,0)),"",INDIRECT("'SorP'!$A$"&amp;MATCH($J168,SorP!$B$1:$B$6230,0))))</f>
        <v>RU-MOS</v>
      </c>
      <c r="U168" s="241"/>
      <c r="V168" s="275">
        <f>IF(C168="",NA(),MATCH($B168&amp;$C168,'Smelter Look-up'!$J:$J,0))</f>
        <v>232</v>
      </c>
      <c r="W168" s="276"/>
      <c r="X168" s="276">
        <f t="shared" si="25"/>
        <v>0</v>
      </c>
      <c r="Y168" s="276"/>
      <c r="Z168" s="276"/>
      <c r="AB168" s="278" t="str">
        <f t="shared" si="26"/>
        <v>GoldSOE Shyolkovsky Factory of Secondary Precious Metals</v>
      </c>
    </row>
    <row r="169" spans="1:28" s="277" customFormat="1" ht="49.5">
      <c r="A169" s="468" t="s">
        <v>805</v>
      </c>
      <c r="B169" s="217" t="s">
        <v>1154</v>
      </c>
      <c r="C169" s="450" t="s">
        <v>2267</v>
      </c>
      <c r="D169" s="217"/>
      <c r="E169" s="217" t="s">
        <v>1119</v>
      </c>
      <c r="F169" s="217" t="s">
        <v>805</v>
      </c>
      <c r="G169" s="217" t="s">
        <v>13577</v>
      </c>
      <c r="H169" s="451" t="s">
        <v>16126</v>
      </c>
      <c r="I169" s="452" t="s">
        <v>1835</v>
      </c>
      <c r="J169" s="452" t="s">
        <v>1708</v>
      </c>
      <c r="K169" s="453" t="s">
        <v>16127</v>
      </c>
      <c r="L169" s="453" t="s">
        <v>16128</v>
      </c>
      <c r="M169" s="453" t="s">
        <v>16129</v>
      </c>
      <c r="N169" s="453" t="s">
        <v>15542</v>
      </c>
      <c r="O169" s="453" t="s">
        <v>15555</v>
      </c>
      <c r="P169" s="454" t="s">
        <v>499</v>
      </c>
      <c r="Q169" s="455" t="s">
        <v>15513</v>
      </c>
      <c r="R169" s="217" t="str">
        <f ca="1">IF(ISERROR($V169),"",OFFSET('Smelter Look-up'!$C$4,$V169-4,0)&amp;"")</f>
        <v>Soft Metais Ltda.</v>
      </c>
      <c r="S169" s="225" t="str">
        <f t="shared" ca="1" si="24"/>
        <v>BR</v>
      </c>
      <c r="T169" s="225" t="str">
        <f ca="1">IF(B169="","",IF(ISERROR(MATCH($J169,SorP!$B$1:$B$6230,0)),"",INDIRECT("'SorP'!$A$"&amp;MATCH($J169,SorP!$B$1:$B$6230,0))))</f>
        <v>BR-SP</v>
      </c>
      <c r="U169" s="241"/>
      <c r="V169" s="275">
        <f>IF(C169="",NA(),MATCH($B169&amp;$C169,'Smelter Look-up'!$J:$J,0))</f>
        <v>453</v>
      </c>
      <c r="W169" s="276"/>
      <c r="X169" s="276">
        <f t="shared" si="25"/>
        <v>0</v>
      </c>
      <c r="Y169" s="276"/>
      <c r="Z169" s="276"/>
      <c r="AB169" s="278" t="str">
        <f t="shared" si="26"/>
        <v>TinSoft Metais Ltda.</v>
      </c>
    </row>
    <row r="170" spans="1:28" s="277" customFormat="1" ht="49.5">
      <c r="A170" s="468" t="s">
        <v>746</v>
      </c>
      <c r="B170" s="217" t="s">
        <v>1153</v>
      </c>
      <c r="C170" s="450" t="s">
        <v>938</v>
      </c>
      <c r="D170" s="217"/>
      <c r="E170" s="217" t="s">
        <v>2575</v>
      </c>
      <c r="F170" s="217" t="s">
        <v>746</v>
      </c>
      <c r="G170" s="217" t="s">
        <v>13577</v>
      </c>
      <c r="H170" s="451" t="s">
        <v>16130</v>
      </c>
      <c r="I170" s="452" t="s">
        <v>1693</v>
      </c>
      <c r="J170" s="452" t="s">
        <v>11836</v>
      </c>
      <c r="K170" s="453" t="s">
        <v>16131</v>
      </c>
      <c r="L170" s="453" t="s">
        <v>16132</v>
      </c>
      <c r="M170" s="453" t="s">
        <v>16133</v>
      </c>
      <c r="N170" s="453" t="s">
        <v>16134</v>
      </c>
      <c r="O170" s="453" t="s">
        <v>16135</v>
      </c>
      <c r="P170" s="454" t="s">
        <v>498</v>
      </c>
      <c r="Q170" s="455" t="s">
        <v>15513</v>
      </c>
      <c r="R170" s="217" t="str">
        <f ca="1">IF(ISERROR($V170),"",OFFSET('Smelter Look-up'!$C$4,$V170-4,0)&amp;"")</f>
        <v>Solar Applied Materials Technology Corp.</v>
      </c>
      <c r="S170" s="225" t="str">
        <f t="shared" ca="1" si="24"/>
        <v>TW</v>
      </c>
      <c r="T170" s="225" t="str">
        <f ca="1">IF(B170="","",IF(ISERROR(MATCH($J170,SorP!$B$1:$B$6230,0)),"",INDIRECT("'SorP'!$A$"&amp;MATCH($J170,SorP!$B$1:$B$6230,0))))</f>
        <v>TW-TNN</v>
      </c>
      <c r="U170" s="241"/>
      <c r="V170" s="275">
        <f>IF(C170="",NA(),MATCH($B170&amp;$C170,'Smelter Look-up'!$J:$J,0))</f>
        <v>233</v>
      </c>
      <c r="W170" s="276"/>
      <c r="X170" s="276">
        <f t="shared" si="25"/>
        <v>0</v>
      </c>
      <c r="Y170" s="276"/>
      <c r="Z170" s="276"/>
      <c r="AB170" s="278" t="str">
        <f t="shared" si="26"/>
        <v>GoldSolar Applied Materials Technology Corp.</v>
      </c>
    </row>
    <row r="171" spans="1:28" s="277" customFormat="1" ht="20.25">
      <c r="A171" s="471" t="s">
        <v>779</v>
      </c>
      <c r="B171" s="217" t="s">
        <v>1155</v>
      </c>
      <c r="C171" s="450" t="s">
        <v>1401</v>
      </c>
      <c r="D171" s="217"/>
      <c r="E171" s="217" t="s">
        <v>906</v>
      </c>
      <c r="F171" s="217" t="s">
        <v>779</v>
      </c>
      <c r="G171" s="217" t="s">
        <v>13577</v>
      </c>
      <c r="H171" s="451">
        <v>0</v>
      </c>
      <c r="I171" s="452" t="s">
        <v>1770</v>
      </c>
      <c r="J171" s="452" t="s">
        <v>10333</v>
      </c>
      <c r="K171" s="453"/>
      <c r="L171" s="453"/>
      <c r="M171" s="453"/>
      <c r="N171" s="453"/>
      <c r="O171" s="453"/>
      <c r="P171" s="454"/>
      <c r="Q171" s="455"/>
      <c r="R171" s="217" t="str">
        <f ca="1">IF(ISERROR($V171),"",OFFSET('Smelter Look-up'!$C$4,$V171-4,0)&amp;"")</f>
        <v>Solikamsk Magnesium Works OAO</v>
      </c>
      <c r="S171" s="225" t="str">
        <f t="shared" ca="1" si="24"/>
        <v>RU</v>
      </c>
      <c r="T171" s="225" t="str">
        <f ca="1">IF(B171="","",IF(ISERROR(MATCH($J171,SorP!$B$1:$B$6230,0)),"",INDIRECT("'SorP'!$A$"&amp;MATCH($J171,SorP!$B$1:$B$6230,0))))</f>
        <v>RU-PER</v>
      </c>
      <c r="U171" s="241"/>
      <c r="V171" s="275">
        <f>IF(C171="",NA(),MATCH($B171&amp;$C171,'Smelter Look-up'!$J:$J,0))</f>
        <v>343</v>
      </c>
      <c r="W171" s="276"/>
      <c r="X171" s="276">
        <f t="shared" si="25"/>
        <v>0</v>
      </c>
      <c r="Y171" s="276"/>
      <c r="Z171" s="276"/>
      <c r="AB171" s="278" t="str">
        <f t="shared" si="26"/>
        <v>TantalumSolikamsk Magnesium Works OAO</v>
      </c>
    </row>
    <row r="172" spans="1:28" s="277" customFormat="1" ht="99">
      <c r="A172" s="468" t="s">
        <v>747</v>
      </c>
      <c r="B172" s="217" t="s">
        <v>1153</v>
      </c>
      <c r="C172" s="450" t="s">
        <v>60</v>
      </c>
      <c r="D172" s="217"/>
      <c r="E172" s="217" t="s">
        <v>1131</v>
      </c>
      <c r="F172" s="217" t="s">
        <v>747</v>
      </c>
      <c r="G172" s="217" t="s">
        <v>13577</v>
      </c>
      <c r="H172" s="451" t="s">
        <v>16136</v>
      </c>
      <c r="I172" s="452" t="s">
        <v>1694</v>
      </c>
      <c r="J172" s="452" t="s">
        <v>2323</v>
      </c>
      <c r="K172" s="453" t="s">
        <v>16137</v>
      </c>
      <c r="L172" s="453" t="s">
        <v>16138</v>
      </c>
      <c r="M172" s="453" t="s">
        <v>15537</v>
      </c>
      <c r="N172" s="453" t="s">
        <v>16139</v>
      </c>
      <c r="O172" s="453" t="s">
        <v>16140</v>
      </c>
      <c r="P172" s="454" t="s">
        <v>499</v>
      </c>
      <c r="Q172" s="455" t="s">
        <v>15513</v>
      </c>
      <c r="R172" s="217" t="str">
        <f ca="1">IF(ISERROR($V172),"",OFFSET('Smelter Look-up'!$C$4,$V172-4,0)&amp;"")</f>
        <v>Sumitomo Metal Mining Co., Ltd.</v>
      </c>
      <c r="S172" s="225" t="str">
        <f t="shared" ca="1" si="24"/>
        <v>JP</v>
      </c>
      <c r="T172" s="225" t="str">
        <f ca="1">IF(B172="","",IF(ISERROR(MATCH($J172,SorP!$B$1:$B$6230,0)),"",INDIRECT("'SorP'!$A$"&amp;MATCH($J172,SorP!$B$1:$B$6230,0))))</f>
        <v>JP-38</v>
      </c>
      <c r="U172" s="241"/>
      <c r="V172" s="275">
        <f>IF(C172="",NA(),MATCH($B172&amp;$C172,'Smelter Look-up'!$J:$J,0))</f>
        <v>240</v>
      </c>
      <c r="W172" s="276"/>
      <c r="X172" s="276">
        <f t="shared" si="25"/>
        <v>0</v>
      </c>
      <c r="Y172" s="276"/>
      <c r="Z172" s="276"/>
      <c r="AB172" s="278" t="str">
        <f t="shared" si="26"/>
        <v>GoldSumitomo Metal Mining Co., Ltd.</v>
      </c>
    </row>
    <row r="173" spans="1:28" s="277" customFormat="1" ht="49.5">
      <c r="A173" s="468" t="s">
        <v>780</v>
      </c>
      <c r="B173" s="217" t="s">
        <v>1155</v>
      </c>
      <c r="C173" s="450" t="s">
        <v>2589</v>
      </c>
      <c r="D173" s="217"/>
      <c r="E173" s="217" t="s">
        <v>1131</v>
      </c>
      <c r="F173" s="217" t="s">
        <v>780</v>
      </c>
      <c r="G173" s="217" t="s">
        <v>13577</v>
      </c>
      <c r="H173" s="451" t="s">
        <v>16141</v>
      </c>
      <c r="I173" s="452" t="s">
        <v>1771</v>
      </c>
      <c r="J173" s="452" t="s">
        <v>1581</v>
      </c>
      <c r="K173" s="453" t="s">
        <v>16142</v>
      </c>
      <c r="L173" s="453" t="s">
        <v>16143</v>
      </c>
      <c r="M173" s="453" t="s">
        <v>15554</v>
      </c>
      <c r="N173" s="453" t="s">
        <v>15542</v>
      </c>
      <c r="O173" s="453" t="s">
        <v>16144</v>
      </c>
      <c r="P173" s="454" t="s">
        <v>499</v>
      </c>
      <c r="Q173" s="455" t="s">
        <v>15520</v>
      </c>
      <c r="R173" s="217" t="str">
        <f ca="1">IF(ISERROR($V173),"",OFFSET('Smelter Look-up'!$C$4,$V173-4,0)&amp;"")</f>
        <v>Taki Chemical Co., Ltd.</v>
      </c>
      <c r="S173" s="225" t="str">
        <f t="shared" ca="1" si="24"/>
        <v>JP</v>
      </c>
      <c r="T173" s="225" t="str">
        <f ca="1">IF(B173="","",IF(ISERROR(MATCH($J173,SorP!$B$1:$B$6230,0)),"",INDIRECT("'SorP'!$A$"&amp;MATCH($J173,SorP!$B$1:$B$6230,0))))</f>
        <v>JP-28</v>
      </c>
      <c r="U173" s="241"/>
      <c r="V173" s="275">
        <f>IF(C173="",NA(),MATCH($B173&amp;$C173,'Smelter Look-up'!$J:$J,0))</f>
        <v>345</v>
      </c>
      <c r="W173" s="276"/>
      <c r="X173" s="276">
        <f t="shared" si="25"/>
        <v>0</v>
      </c>
      <c r="Y173" s="276"/>
      <c r="Z173" s="276"/>
      <c r="AB173" s="278" t="str">
        <f t="shared" si="26"/>
        <v>TantalumTaki Chemical Co., Ltd.</v>
      </c>
    </row>
    <row r="174" spans="1:28" s="277" customFormat="1" ht="20.25">
      <c r="A174" s="468" t="s">
        <v>748</v>
      </c>
      <c r="B174" s="217" t="s">
        <v>1153</v>
      </c>
      <c r="C174" s="450" t="s">
        <v>1256</v>
      </c>
      <c r="D174" s="217"/>
      <c r="E174" s="217" t="s">
        <v>1131</v>
      </c>
      <c r="F174" s="217" t="s">
        <v>748</v>
      </c>
      <c r="G174" s="217" t="s">
        <v>13577</v>
      </c>
      <c r="H174" s="451" t="s">
        <v>16145</v>
      </c>
      <c r="I174" s="452" t="s">
        <v>1696</v>
      </c>
      <c r="J174" s="452" t="s">
        <v>1697</v>
      </c>
      <c r="K174" s="453" t="s">
        <v>16146</v>
      </c>
      <c r="L174" s="453" t="s">
        <v>16147</v>
      </c>
      <c r="M174" s="453" t="s">
        <v>15537</v>
      </c>
      <c r="N174" s="453" t="s">
        <v>16134</v>
      </c>
      <c r="O174" s="453" t="s">
        <v>15519</v>
      </c>
      <c r="P174" s="454" t="s">
        <v>498</v>
      </c>
      <c r="Q174" s="455" t="s">
        <v>15513</v>
      </c>
      <c r="R174" s="217" t="str">
        <f ca="1">IF(ISERROR($V174),"",OFFSET('Smelter Look-up'!$C$4,$V174-4,0)&amp;"")</f>
        <v>Tanaka Kikinzoku Kogyo K.K.</v>
      </c>
      <c r="S174" s="225" t="str">
        <f t="shared" ca="1" si="24"/>
        <v>JP</v>
      </c>
      <c r="T174" s="225" t="str">
        <f ca="1">IF(B174="","",IF(ISERROR(MATCH($J174,SorP!$B$1:$B$6230,0)),"",INDIRECT("'SorP'!$A$"&amp;MATCH($J174,SorP!$B$1:$B$6230,0))))</f>
        <v>JP-14</v>
      </c>
      <c r="U174" s="241"/>
      <c r="V174" s="275">
        <f>IF(C174="",NA(),MATCH($B174&amp;$C174,'Smelter Look-up'!$J:$J,0))</f>
        <v>252</v>
      </c>
      <c r="W174" s="276"/>
      <c r="X174" s="276">
        <f t="shared" si="25"/>
        <v>0</v>
      </c>
      <c r="Y174" s="276"/>
      <c r="Z174" s="276"/>
      <c r="AB174" s="278" t="str">
        <f t="shared" si="26"/>
        <v>GoldTanaka Kikinzoku Kogyo K.K.</v>
      </c>
    </row>
    <row r="175" spans="1:28" s="277" customFormat="1" ht="24.75">
      <c r="A175" s="468" t="s">
        <v>821</v>
      </c>
      <c r="B175" s="217" t="s">
        <v>1156</v>
      </c>
      <c r="C175" s="450" t="s">
        <v>2</v>
      </c>
      <c r="D175" s="217"/>
      <c r="E175" s="217" t="s">
        <v>915</v>
      </c>
      <c r="F175" s="217" t="s">
        <v>821</v>
      </c>
      <c r="G175" s="217" t="s">
        <v>13577</v>
      </c>
      <c r="H175" s="451" t="s">
        <v>16148</v>
      </c>
      <c r="I175" s="452" t="s">
        <v>1872</v>
      </c>
      <c r="J175" s="452" t="s">
        <v>12487</v>
      </c>
      <c r="K175" s="453" t="s">
        <v>16149</v>
      </c>
      <c r="L175" s="453" t="s">
        <v>16150</v>
      </c>
      <c r="M175" s="453" t="s">
        <v>15554</v>
      </c>
      <c r="N175" s="453" t="s">
        <v>15542</v>
      </c>
      <c r="O175" s="453" t="s">
        <v>16151</v>
      </c>
      <c r="P175" s="454" t="s">
        <v>499</v>
      </c>
      <c r="Q175" s="455" t="s">
        <v>15513</v>
      </c>
      <c r="R175" s="217" t="str">
        <f ca="1">IF(ISERROR($V175),"",OFFSET('Smelter Look-up'!$C$4,$V175-4,0)&amp;"")</f>
        <v>Tejing (Vietnam) Tungsten Co., Ltd.</v>
      </c>
      <c r="S175" s="225" t="str">
        <f t="shared" ca="1" si="24"/>
        <v>VN</v>
      </c>
      <c r="T175" s="225" t="str">
        <f ca="1">IF(B175="","",IF(ISERROR(MATCH($J175,SorP!$B$1:$B$6230,0)),"",INDIRECT("'SorP'!$A$"&amp;MATCH($J175,SorP!$B$1:$B$6230,0))))</f>
        <v>VN-37</v>
      </c>
      <c r="U175" s="241"/>
      <c r="V175" s="275">
        <f>IF(C175="",NA(),MATCH($B175&amp;$C175,'Smelter Look-up'!$J:$J,0))</f>
        <v>549</v>
      </c>
      <c r="W175" s="276"/>
      <c r="X175" s="276">
        <f t="shared" si="25"/>
        <v>0</v>
      </c>
      <c r="Y175" s="276"/>
      <c r="Z175" s="276"/>
      <c r="AB175" s="278" t="str">
        <f t="shared" si="26"/>
        <v>TungstenTejing (Vietnam) Tungsten Co., Ltd.</v>
      </c>
    </row>
    <row r="176" spans="1:28" s="277" customFormat="1" ht="37.15">
      <c r="A176" s="468" t="s">
        <v>781</v>
      </c>
      <c r="B176" s="217" t="s">
        <v>1155</v>
      </c>
      <c r="C176" s="450" t="s">
        <v>1772</v>
      </c>
      <c r="D176" s="217"/>
      <c r="E176" s="217" t="s">
        <v>2576</v>
      </c>
      <c r="F176" s="217" t="s">
        <v>781</v>
      </c>
      <c r="G176" s="217" t="s">
        <v>13577</v>
      </c>
      <c r="H176" s="451" t="s">
        <v>16152</v>
      </c>
      <c r="I176" s="452" t="s">
        <v>1773</v>
      </c>
      <c r="J176" s="452" t="s">
        <v>1774</v>
      </c>
      <c r="K176" s="453" t="s">
        <v>16153</v>
      </c>
      <c r="L176" s="453" t="s">
        <v>16154</v>
      </c>
      <c r="M176" s="453" t="s">
        <v>15554</v>
      </c>
      <c r="N176" s="453" t="s">
        <v>15542</v>
      </c>
      <c r="O176" s="453" t="s">
        <v>16151</v>
      </c>
      <c r="P176" s="454" t="s">
        <v>499</v>
      </c>
      <c r="Q176" s="455" t="s">
        <v>15520</v>
      </c>
      <c r="R176" s="217" t="str">
        <f ca="1">IF(ISERROR($V176),"",OFFSET('Smelter Look-up'!$C$4,$V176-4,0)&amp;"")</f>
        <v>Telex Metals</v>
      </c>
      <c r="S176" s="225" t="str">
        <f t="shared" ca="1" si="24"/>
        <v>US</v>
      </c>
      <c r="T176" s="225" t="str">
        <f ca="1">IF(B176="","",IF(ISERROR(MATCH($J176,SorP!$B$1:$B$6230,0)),"",INDIRECT("'SorP'!$A$"&amp;MATCH($J176,SorP!$B$1:$B$6230,0))))</f>
        <v>US-PA</v>
      </c>
      <c r="U176" s="241"/>
      <c r="V176" s="275">
        <f>IF(C176="",NA(),MATCH($B176&amp;$C176,'Smelter Look-up'!$J:$J,0))</f>
        <v>347</v>
      </c>
      <c r="W176" s="276"/>
      <c r="X176" s="276">
        <f t="shared" si="25"/>
        <v>0</v>
      </c>
      <c r="Y176" s="276"/>
      <c r="Z176" s="276"/>
      <c r="AB176" s="278" t="str">
        <f t="shared" si="26"/>
        <v>TantalumTelex Metals</v>
      </c>
    </row>
    <row r="177" spans="1:28" s="277" customFormat="1" ht="20.25">
      <c r="A177" s="468" t="s">
        <v>806</v>
      </c>
      <c r="B177" s="217" t="s">
        <v>1154</v>
      </c>
      <c r="C177" s="450" t="s">
        <v>1838</v>
      </c>
      <c r="D177" s="217"/>
      <c r="E177" s="217" t="s">
        <v>911</v>
      </c>
      <c r="F177" s="217" t="s">
        <v>806</v>
      </c>
      <c r="G177" s="217" t="s">
        <v>13577</v>
      </c>
      <c r="H177" s="451"/>
      <c r="I177" s="452" t="s">
        <v>1836</v>
      </c>
      <c r="J177" s="452" t="s">
        <v>1837</v>
      </c>
      <c r="K177" s="216"/>
      <c r="L177" s="216"/>
      <c r="M177" s="216"/>
      <c r="N177" s="216"/>
      <c r="O177" s="216" t="s">
        <v>16155</v>
      </c>
      <c r="P177" s="454" t="s">
        <v>499</v>
      </c>
      <c r="Q177" s="455"/>
      <c r="R177" s="217" t="str">
        <f ca="1">IF(ISERROR($V177),"",OFFSET('Smelter Look-up'!$C$4,$V177-4,0)&amp;"")</f>
        <v>Thaisarco</v>
      </c>
      <c r="S177" s="225" t="str">
        <f t="shared" ca="1" si="24"/>
        <v>TH</v>
      </c>
      <c r="T177" s="225" t="str">
        <f ca="1">IF(B177="","",IF(ISERROR(MATCH($J177,SorP!$B$1:$B$6230,0)),"",INDIRECT("'SorP'!$A$"&amp;MATCH($J177,SorP!$B$1:$B$6230,0))))</f>
        <v>TH-83</v>
      </c>
      <c r="U177" s="241"/>
      <c r="V177" s="275">
        <f>IF(C177="",NA(),MATCH($B177&amp;$C177,'Smelter Look-up'!$J:$J,0))</f>
        <v>457</v>
      </c>
      <c r="W177" s="276"/>
      <c r="X177" s="276">
        <f t="shared" si="25"/>
        <v>0</v>
      </c>
      <c r="Y177" s="276"/>
      <c r="Z177" s="276"/>
      <c r="AB177" s="278" t="str">
        <f t="shared" si="26"/>
        <v>TinThailand Smelting &amp; Refining Co Ltd</v>
      </c>
    </row>
    <row r="178" spans="1:28" s="277" customFormat="1" ht="74.25">
      <c r="A178" s="468" t="s">
        <v>806</v>
      </c>
      <c r="B178" s="217" t="s">
        <v>1154</v>
      </c>
      <c r="C178" s="450" t="s">
        <v>1054</v>
      </c>
      <c r="D178" s="217"/>
      <c r="E178" s="217" t="s">
        <v>911</v>
      </c>
      <c r="F178" s="217" t="s">
        <v>806</v>
      </c>
      <c r="G178" s="217" t="s">
        <v>13577</v>
      </c>
      <c r="H178" s="451" t="s">
        <v>16156</v>
      </c>
      <c r="I178" s="452" t="s">
        <v>1836</v>
      </c>
      <c r="J178" s="452" t="s">
        <v>1837</v>
      </c>
      <c r="K178" s="453" t="s">
        <v>16157</v>
      </c>
      <c r="L178" s="453" t="s">
        <v>16158</v>
      </c>
      <c r="M178" s="453" t="s">
        <v>16159</v>
      </c>
      <c r="N178" s="453" t="s">
        <v>16160</v>
      </c>
      <c r="O178" s="453" t="s">
        <v>16161</v>
      </c>
      <c r="P178" s="454" t="s">
        <v>499</v>
      </c>
      <c r="Q178" s="455" t="s">
        <v>15513</v>
      </c>
      <c r="R178" s="217" t="str">
        <f ca="1">IF(ISERROR($V178),"",OFFSET('Smelter Look-up'!$C$4,$V178-4,0)&amp;"")</f>
        <v>Thaisarco</v>
      </c>
      <c r="S178" s="225" t="str">
        <f t="shared" ca="1" si="24"/>
        <v>TH</v>
      </c>
      <c r="T178" s="225" t="str">
        <f ca="1">IF(B178="","",IF(ISERROR(MATCH($J178,SorP!$B$1:$B$6230,0)),"",INDIRECT("'SorP'!$A$"&amp;MATCH($J178,SorP!$B$1:$B$6230,0))))</f>
        <v>TH-83</v>
      </c>
      <c r="U178" s="241"/>
      <c r="V178" s="275">
        <f>IF(C178="",NA(),MATCH($B178&amp;$C178,'Smelter Look-up'!$J:$J,0))</f>
        <v>458</v>
      </c>
      <c r="W178" s="276"/>
      <c r="X178" s="276">
        <f t="shared" si="25"/>
        <v>0</v>
      </c>
      <c r="Y178" s="276"/>
      <c r="Z178" s="276"/>
      <c r="AB178" s="278" t="str">
        <f t="shared" si="26"/>
        <v>TinThaisarco</v>
      </c>
    </row>
    <row r="179" spans="1:28" s="277" customFormat="1" ht="49.5">
      <c r="A179" s="468" t="s">
        <v>1840</v>
      </c>
      <c r="B179" s="217" t="s">
        <v>1154</v>
      </c>
      <c r="C179" s="450" t="s">
        <v>1839</v>
      </c>
      <c r="D179" s="217"/>
      <c r="E179" s="217" t="s">
        <v>1123</v>
      </c>
      <c r="F179" s="217" t="s">
        <v>1840</v>
      </c>
      <c r="G179" s="217" t="s">
        <v>13577</v>
      </c>
      <c r="H179" s="451" t="s">
        <v>16162</v>
      </c>
      <c r="I179" s="452" t="s">
        <v>2590</v>
      </c>
      <c r="J179" s="452" t="s">
        <v>15578</v>
      </c>
      <c r="K179" s="453" t="s">
        <v>16163</v>
      </c>
      <c r="L179" s="453" t="s">
        <v>16164</v>
      </c>
      <c r="M179" s="453" t="s">
        <v>16165</v>
      </c>
      <c r="N179" s="453" t="s">
        <v>15542</v>
      </c>
      <c r="O179" s="453" t="s">
        <v>16151</v>
      </c>
      <c r="P179" s="454" t="s">
        <v>499</v>
      </c>
      <c r="Q179" s="455" t="s">
        <v>15513</v>
      </c>
      <c r="R179" s="217" t="str">
        <f ca="1">IF(ISERROR($V179),"",OFFSET('Smelter Look-up'!$C$4,$V179-4,0)&amp;"")</f>
        <v>Gejiu Yunxin Nonferrous Electrolysis Co., Ltd.</v>
      </c>
      <c r="S179" s="225" t="str">
        <f t="shared" ca="1" si="24"/>
        <v>CN</v>
      </c>
      <c r="T179" s="225" t="str">
        <f ca="1">IF(B179="","",IF(ISERROR(MATCH($J179,SorP!$B$1:$B$6230,0)),"",INDIRECT("'SorP'!$A$"&amp;MATCH($J179,SorP!$B$1:$B$6230,0))))</f>
        <v/>
      </c>
      <c r="U179" s="241"/>
      <c r="V179" s="275">
        <f>IF(C179="",NA(),MATCH($B179&amp;$C179,'Smelter Look-up'!$J:$J,0))</f>
        <v>390</v>
      </c>
      <c r="W179" s="276"/>
      <c r="X179" s="276">
        <f t="shared" si="25"/>
        <v>0</v>
      </c>
      <c r="Y179" s="276"/>
      <c r="Z179" s="276"/>
      <c r="AB179" s="278" t="str">
        <f t="shared" si="26"/>
        <v>TinGejiu Yunxin Nonferrous Electrolysis Co., Ltd.</v>
      </c>
    </row>
    <row r="180" spans="1:28" s="277" customFormat="1" ht="20.25">
      <c r="A180" s="468" t="s">
        <v>749</v>
      </c>
      <c r="B180" s="217" t="s">
        <v>1153</v>
      </c>
      <c r="C180" s="450" t="s">
        <v>2328</v>
      </c>
      <c r="D180" s="217"/>
      <c r="E180" s="217" t="s">
        <v>1123</v>
      </c>
      <c r="F180" s="217" t="s">
        <v>749</v>
      </c>
      <c r="G180" s="217" t="s">
        <v>13577</v>
      </c>
      <c r="H180" s="451" t="s">
        <v>14249</v>
      </c>
      <c r="I180" s="452" t="s">
        <v>1691</v>
      </c>
      <c r="J180" s="452" t="s">
        <v>16118</v>
      </c>
      <c r="K180" s="453" t="s">
        <v>14249</v>
      </c>
      <c r="L180" s="453" t="s">
        <v>14249</v>
      </c>
      <c r="M180" s="453" t="s">
        <v>14249</v>
      </c>
      <c r="N180" s="453" t="s">
        <v>14249</v>
      </c>
      <c r="O180" s="453" t="s">
        <v>14249</v>
      </c>
      <c r="P180" s="454" t="s">
        <v>14249</v>
      </c>
      <c r="Q180" s="455" t="s">
        <v>14249</v>
      </c>
      <c r="R180" s="217" t="str">
        <f ca="1">IF(ISERROR($V180),"",OFFSET('Smelter Look-up'!$C$4,$V180-4,0)&amp;"")</f>
        <v>Great Wall Precious Metals Co., Ltd. of CBPM</v>
      </c>
      <c r="S180" s="225" t="str">
        <f t="shared" ca="1" si="24"/>
        <v>CN</v>
      </c>
      <c r="T180" s="225" t="str">
        <f ca="1">IF(B180="","",IF(ISERROR(MATCH($J180,SorP!$B$1:$B$6230,0)),"",INDIRECT("'SorP'!$A$"&amp;MATCH($J180,SorP!$B$1:$B$6230,0))))</f>
        <v/>
      </c>
      <c r="U180" s="241"/>
      <c r="V180" s="275">
        <f>IF(C180="",NA(),MATCH($B180&amp;$C180,'Smelter Look-up'!$J:$J,0))</f>
        <v>85</v>
      </c>
      <c r="W180" s="276"/>
      <c r="X180" s="276">
        <f t="shared" si="25"/>
        <v>0</v>
      </c>
      <c r="Y180" s="276"/>
      <c r="Z180" s="276"/>
      <c r="AB180" s="278" t="str">
        <f t="shared" si="26"/>
        <v>GoldGreat Wall Precious Metals Co., Ltd. of CBPM</v>
      </c>
    </row>
    <row r="181" spans="1:28" s="277" customFormat="1" ht="24.75">
      <c r="A181" s="468" t="s">
        <v>750</v>
      </c>
      <c r="B181" s="217" t="s">
        <v>1153</v>
      </c>
      <c r="C181" s="450" t="s">
        <v>2268</v>
      </c>
      <c r="D181" s="217"/>
      <c r="E181" s="217" t="s">
        <v>1123</v>
      </c>
      <c r="F181" s="217" t="s">
        <v>750</v>
      </c>
      <c r="G181" s="217" t="s">
        <v>13577</v>
      </c>
      <c r="H181" s="451" t="s">
        <v>16166</v>
      </c>
      <c r="I181" s="452" t="s">
        <v>1687</v>
      </c>
      <c r="J181" s="452" t="s">
        <v>15723</v>
      </c>
      <c r="K181" s="453" t="s">
        <v>16167</v>
      </c>
      <c r="L181" s="453" t="s">
        <v>16168</v>
      </c>
      <c r="M181" s="453" t="s">
        <v>15797</v>
      </c>
      <c r="N181" s="453" t="s">
        <v>15511</v>
      </c>
      <c r="O181" s="453" t="s">
        <v>15593</v>
      </c>
      <c r="P181" s="454" t="s">
        <v>499</v>
      </c>
      <c r="Q181" s="455" t="s">
        <v>15513</v>
      </c>
      <c r="R181" s="217" t="str">
        <f ca="1">IF(ISERROR($V181),"",OFFSET('Smelter Look-up'!$C$4,$V181-4,0)&amp;"")</f>
        <v>The Refinery of Shandong Gold Mining Co., Ltd.</v>
      </c>
      <c r="S181" s="225" t="str">
        <f t="shared" ca="1" si="24"/>
        <v>CN</v>
      </c>
      <c r="T181" s="225" t="str">
        <f ca="1">IF(B181="","",IF(ISERROR(MATCH($J181,SorP!$B$1:$B$6230,0)),"",INDIRECT("'SorP'!$A$"&amp;MATCH($J181,SorP!$B$1:$B$6230,0))))</f>
        <v/>
      </c>
      <c r="U181" s="241"/>
      <c r="V181" s="275">
        <f>IF(C181="",NA(),MATCH($B181&amp;$C181,'Smelter Look-up'!$J:$J,0))</f>
        <v>256</v>
      </c>
      <c r="W181" s="276"/>
      <c r="X181" s="276">
        <f t="shared" si="25"/>
        <v>0</v>
      </c>
      <c r="Y181" s="276"/>
      <c r="Z181" s="276"/>
      <c r="AB181" s="278" t="str">
        <f t="shared" si="26"/>
        <v>GoldThe Refinery of Shandong Gold Mining Co., Ltd.</v>
      </c>
    </row>
    <row r="182" spans="1:28" s="277" customFormat="1" ht="24.75">
      <c r="A182" s="468" t="s">
        <v>751</v>
      </c>
      <c r="B182" s="217" t="s">
        <v>1153</v>
      </c>
      <c r="C182" s="450" t="s">
        <v>2269</v>
      </c>
      <c r="D182" s="217"/>
      <c r="E182" s="217" t="s">
        <v>1131</v>
      </c>
      <c r="F182" s="217" t="s">
        <v>751</v>
      </c>
      <c r="G182" s="217" t="s">
        <v>13577</v>
      </c>
      <c r="H182" s="451" t="s">
        <v>16169</v>
      </c>
      <c r="I182" s="452" t="s">
        <v>1702</v>
      </c>
      <c r="J182" s="452" t="s">
        <v>1610</v>
      </c>
      <c r="K182" s="453" t="s">
        <v>16170</v>
      </c>
      <c r="L182" s="453" t="s">
        <v>16171</v>
      </c>
      <c r="M182" s="453" t="s">
        <v>16172</v>
      </c>
      <c r="N182" s="453" t="s">
        <v>16134</v>
      </c>
      <c r="O182" s="453" t="s">
        <v>15519</v>
      </c>
      <c r="P182" s="454" t="s">
        <v>498</v>
      </c>
      <c r="Q182" s="455" t="s">
        <v>15513</v>
      </c>
      <c r="R182" s="217" t="str">
        <f ca="1">IF(ISERROR($V182),"",OFFSET('Smelter Look-up'!$C$4,$V182-4,0)&amp;"")</f>
        <v>Tokuriki Honten Co., Ltd.</v>
      </c>
      <c r="S182" s="225" t="str">
        <f t="shared" ca="1" si="24"/>
        <v>JP</v>
      </c>
      <c r="T182" s="225" t="str">
        <f ca="1">IF(B182="","",IF(ISERROR(MATCH($J182,SorP!$B$1:$B$6230,0)),"",INDIRECT("'SorP'!$A$"&amp;MATCH($J182,SorP!$B$1:$B$6230,0))))</f>
        <v>JP-11</v>
      </c>
      <c r="U182" s="241"/>
      <c r="V182" s="275">
        <f>IF(C182="",NA(),MATCH($B182&amp;$C182,'Smelter Look-up'!$J:$J,0))</f>
        <v>257</v>
      </c>
      <c r="W182" s="276"/>
      <c r="X182" s="276">
        <f t="shared" si="25"/>
        <v>0</v>
      </c>
      <c r="Y182" s="276"/>
      <c r="Z182" s="276"/>
      <c r="AB182" s="278" t="str">
        <f t="shared" si="26"/>
        <v>GoldTokuriki Honten Co., Ltd.</v>
      </c>
    </row>
    <row r="183" spans="1:28" s="277" customFormat="1" ht="20.25">
      <c r="A183" s="468" t="s">
        <v>752</v>
      </c>
      <c r="B183" s="217" t="s">
        <v>1153</v>
      </c>
      <c r="C183" s="450" t="s">
        <v>2306</v>
      </c>
      <c r="D183" s="217"/>
      <c r="E183" s="217" t="s">
        <v>1123</v>
      </c>
      <c r="F183" s="217" t="s">
        <v>752</v>
      </c>
      <c r="G183" s="217" t="s">
        <v>13577</v>
      </c>
      <c r="H183" s="451" t="s">
        <v>14249</v>
      </c>
      <c r="I183" s="452" t="s">
        <v>1703</v>
      </c>
      <c r="J183" s="452" t="s">
        <v>16173</v>
      </c>
      <c r="K183" s="453" t="s">
        <v>14249</v>
      </c>
      <c r="L183" s="453" t="s">
        <v>14249</v>
      </c>
      <c r="M183" s="453" t="s">
        <v>14249</v>
      </c>
      <c r="N183" s="453" t="s">
        <v>14249</v>
      </c>
      <c r="O183" s="453" t="s">
        <v>14249</v>
      </c>
      <c r="P183" s="454" t="s">
        <v>14249</v>
      </c>
      <c r="Q183" s="455" t="s">
        <v>14249</v>
      </c>
      <c r="R183" s="217" t="str">
        <f ca="1">IF(ISERROR($V183),"",OFFSET('Smelter Look-up'!$C$4,$V183-4,0)&amp;"")</f>
        <v>Tongling Nonferrous Metals Group Co., Ltd.</v>
      </c>
      <c r="S183" s="225" t="str">
        <f t="shared" ca="1" si="24"/>
        <v>CN</v>
      </c>
      <c r="T183" s="225" t="str">
        <f ca="1">IF(B183="","",IF(ISERROR(MATCH($J183,SorP!$B$1:$B$6230,0)),"",INDIRECT("'SorP'!$A$"&amp;MATCH($J183,SorP!$B$1:$B$6230,0))))</f>
        <v/>
      </c>
      <c r="U183" s="241"/>
      <c r="V183" s="275">
        <f>IF(C183="",NA(),MATCH($B183&amp;$C183,'Smelter Look-up'!$J:$J,0))</f>
        <v>258</v>
      </c>
      <c r="W183" s="276"/>
      <c r="X183" s="276">
        <f t="shared" si="25"/>
        <v>0</v>
      </c>
      <c r="Y183" s="276"/>
      <c r="Z183" s="276"/>
      <c r="AB183" s="278" t="str">
        <f t="shared" si="26"/>
        <v>GoldTongling Nonferrous Metals Group Co., Ltd.</v>
      </c>
    </row>
    <row r="184" spans="1:28" s="277" customFormat="1" ht="49.5">
      <c r="A184" s="468" t="s">
        <v>753</v>
      </c>
      <c r="B184" s="217" t="s">
        <v>1153</v>
      </c>
      <c r="C184" s="450" t="s">
        <v>626</v>
      </c>
      <c r="D184" s="217"/>
      <c r="E184" s="217" t="s">
        <v>1134</v>
      </c>
      <c r="F184" s="217" t="s">
        <v>753</v>
      </c>
      <c r="G184" s="217" t="s">
        <v>13577</v>
      </c>
      <c r="H184" s="451" t="s">
        <v>16174</v>
      </c>
      <c r="I184" s="452" t="s">
        <v>1706</v>
      </c>
      <c r="J184" s="452" t="s">
        <v>13200</v>
      </c>
      <c r="K184" s="453" t="s">
        <v>16175</v>
      </c>
      <c r="L184" s="453" t="s">
        <v>16176</v>
      </c>
      <c r="M184" s="453" t="s">
        <v>16177</v>
      </c>
      <c r="N184" s="453" t="s">
        <v>15518</v>
      </c>
      <c r="O184" s="453" t="s">
        <v>15519</v>
      </c>
      <c r="P184" s="454" t="s">
        <v>498</v>
      </c>
      <c r="Q184" s="455" t="s">
        <v>15520</v>
      </c>
      <c r="R184" s="217" t="str">
        <f ca="1">IF(ISERROR($V184),"",OFFSET('Smelter Look-up'!$C$4,$V184-4,0)&amp;"")</f>
        <v>Torecom</v>
      </c>
      <c r="S184" s="225" t="str">
        <f t="shared" ca="1" si="24"/>
        <v>KR</v>
      </c>
      <c r="T184" s="225" t="str">
        <f ca="1">IF(B184="","",IF(ISERROR(MATCH($J184,SorP!$B$1:$B$6230,0)),"",INDIRECT("'SorP'!$A$"&amp;MATCH($J184,SorP!$B$1:$B$6230,0))))</f>
        <v>KR-44</v>
      </c>
      <c r="U184" s="241"/>
      <c r="V184" s="275">
        <f>IF(C184="",NA(),MATCH($B184&amp;$C184,'Smelter Look-up'!$J:$J,0))</f>
        <v>262</v>
      </c>
      <c r="W184" s="276"/>
      <c r="X184" s="276">
        <f t="shared" si="25"/>
        <v>0</v>
      </c>
      <c r="Y184" s="276"/>
      <c r="Z184" s="276"/>
      <c r="AB184" s="278" t="str">
        <f t="shared" si="26"/>
        <v>GoldTorecom</v>
      </c>
    </row>
    <row r="185" spans="1:28" s="277" customFormat="1" ht="49.5">
      <c r="A185" s="468" t="s">
        <v>782</v>
      </c>
      <c r="B185" s="217" t="s">
        <v>1155</v>
      </c>
      <c r="C185" s="450" t="s">
        <v>1775</v>
      </c>
      <c r="D185" s="217"/>
      <c r="E185" s="217" t="s">
        <v>1132</v>
      </c>
      <c r="F185" s="217" t="s">
        <v>782</v>
      </c>
      <c r="G185" s="217" t="s">
        <v>13577</v>
      </c>
      <c r="H185" s="451" t="s">
        <v>16178</v>
      </c>
      <c r="I185" s="452" t="s">
        <v>1636</v>
      </c>
      <c r="J185" s="452" t="s">
        <v>7279</v>
      </c>
      <c r="K185" s="453" t="s">
        <v>16179</v>
      </c>
      <c r="L185" s="453" t="s">
        <v>16180</v>
      </c>
      <c r="M185" s="453" t="s">
        <v>15554</v>
      </c>
      <c r="N185" s="453" t="s">
        <v>16181</v>
      </c>
      <c r="O185" s="453" t="s">
        <v>16182</v>
      </c>
      <c r="P185" s="454" t="s">
        <v>499</v>
      </c>
      <c r="Q185" s="455" t="s">
        <v>15513</v>
      </c>
      <c r="R185" s="217" t="str">
        <f ca="1">IF(ISERROR($V185),"",OFFSET('Smelter Look-up'!$C$4,$V185-4,0)&amp;"")</f>
        <v>Ulba Metallurgical Plant JSC</v>
      </c>
      <c r="S185" s="225" t="str">
        <f t="shared" ca="1" si="24"/>
        <v>KZ</v>
      </c>
      <c r="T185" s="225" t="str">
        <f ca="1">IF(B185="","",IF(ISERROR(MATCH($J185,SorP!$B$1:$B$6230,0)),"",INDIRECT("'SorP'!$A$"&amp;MATCH($J185,SorP!$B$1:$B$6230,0))))</f>
        <v>KZ-KAR</v>
      </c>
      <c r="U185" s="241"/>
      <c r="V185" s="275">
        <f>IF(C185="",NA(),MATCH($B185&amp;$C185,'Smelter Look-up'!$J:$J,0))</f>
        <v>349</v>
      </c>
      <c r="W185" s="276"/>
      <c r="X185" s="276">
        <f t="shared" si="25"/>
        <v>0</v>
      </c>
      <c r="Y185" s="276"/>
      <c r="Z185" s="276"/>
      <c r="AB185" s="278" t="str">
        <f t="shared" si="26"/>
        <v>TantalumUlba Metallurgical Plant JSC</v>
      </c>
    </row>
    <row r="186" spans="1:28" s="277" customFormat="1" ht="24.75">
      <c r="A186" s="468" t="s">
        <v>754</v>
      </c>
      <c r="B186" s="217" t="s">
        <v>1153</v>
      </c>
      <c r="C186" s="450" t="s">
        <v>2270</v>
      </c>
      <c r="D186" s="217"/>
      <c r="E186" s="217" t="s">
        <v>1119</v>
      </c>
      <c r="F186" s="217" t="s">
        <v>754</v>
      </c>
      <c r="G186" s="217" t="s">
        <v>13577</v>
      </c>
      <c r="H186" s="451" t="s">
        <v>16183</v>
      </c>
      <c r="I186" s="452" t="s">
        <v>1707</v>
      </c>
      <c r="J186" s="452" t="s">
        <v>1708</v>
      </c>
      <c r="K186" s="453" t="s">
        <v>16184</v>
      </c>
      <c r="L186" s="453" t="s">
        <v>16185</v>
      </c>
      <c r="M186" s="453" t="s">
        <v>15565</v>
      </c>
      <c r="N186" s="453" t="s">
        <v>15511</v>
      </c>
      <c r="O186" s="453" t="s">
        <v>15533</v>
      </c>
      <c r="P186" s="454"/>
      <c r="Q186" s="455" t="s">
        <v>15520</v>
      </c>
      <c r="R186" s="217" t="str">
        <f ca="1">IF(ISERROR($V186),"",OFFSET('Smelter Look-up'!$C$4,$V186-4,0)&amp;"")</f>
        <v>Umicore Brasil Ltda.</v>
      </c>
      <c r="S186" s="225" t="str">
        <f t="shared" ca="1" si="24"/>
        <v>BR</v>
      </c>
      <c r="T186" s="225" t="str">
        <f ca="1">IF(B186="","",IF(ISERROR(MATCH($J186,SorP!$B$1:$B$6230,0)),"",INDIRECT("'SorP'!$A$"&amp;MATCH($J186,SorP!$B$1:$B$6230,0))))</f>
        <v>BR-SP</v>
      </c>
      <c r="U186" s="241"/>
      <c r="V186" s="275">
        <f>IF(C186="",NA(),MATCH($B186&amp;$C186,'Smelter Look-up'!$J:$J,0))</f>
        <v>264</v>
      </c>
      <c r="W186" s="276"/>
      <c r="X186" s="276">
        <f t="shared" si="25"/>
        <v>0</v>
      </c>
      <c r="Y186" s="276"/>
      <c r="Z186" s="276"/>
      <c r="AB186" s="278" t="str">
        <f t="shared" si="26"/>
        <v>GoldUmicore Brasil Ltda.</v>
      </c>
    </row>
    <row r="187" spans="1:28" s="277" customFormat="1" ht="24.75">
      <c r="A187" s="468" t="s">
        <v>755</v>
      </c>
      <c r="B187" s="217" t="s">
        <v>1153</v>
      </c>
      <c r="C187" s="450" t="s">
        <v>2458</v>
      </c>
      <c r="D187" s="217"/>
      <c r="E187" s="217" t="s">
        <v>1118</v>
      </c>
      <c r="F187" s="217" t="s">
        <v>755</v>
      </c>
      <c r="G187" s="217" t="s">
        <v>13577</v>
      </c>
      <c r="H187" s="451" t="s">
        <v>16186</v>
      </c>
      <c r="I187" s="452" t="s">
        <v>1709</v>
      </c>
      <c r="J187" s="452" t="s">
        <v>3305</v>
      </c>
      <c r="K187" s="453" t="s">
        <v>16187</v>
      </c>
      <c r="L187" s="453" t="s">
        <v>16188</v>
      </c>
      <c r="M187" s="453" t="s">
        <v>15597</v>
      </c>
      <c r="N187" s="453" t="s">
        <v>15518</v>
      </c>
      <c r="O187" s="453" t="s">
        <v>15519</v>
      </c>
      <c r="P187" s="454" t="s">
        <v>498</v>
      </c>
      <c r="Q187" s="455" t="s">
        <v>15513</v>
      </c>
      <c r="R187" s="217" t="str">
        <f ca="1">IF(ISERROR($V187),"",OFFSET('Smelter Look-up'!$C$4,$V187-4,0)&amp;"")</f>
        <v>Umicore S.A. Business Unit Precious Metals Refining</v>
      </c>
      <c r="S187" s="225" t="str">
        <f t="shared" ca="1" si="24"/>
        <v>BE</v>
      </c>
      <c r="T187" s="225" t="str">
        <f ca="1">IF(B187="","",IF(ISERROR(MATCH($J187,SorP!$B$1:$B$6230,0)),"",INDIRECT("'SorP'!$A$"&amp;MATCH($J187,SorP!$B$1:$B$6230,0))))</f>
        <v>BE-VAN</v>
      </c>
      <c r="U187" s="241"/>
      <c r="V187" s="275">
        <f>IF(C187="",NA(),MATCH($B187&amp;$C187,'Smelter Look-up'!$J:$J,0))</f>
        <v>267</v>
      </c>
      <c r="W187" s="276"/>
      <c r="X187" s="276">
        <f t="shared" si="25"/>
        <v>0</v>
      </c>
      <c r="Y187" s="276"/>
      <c r="Z187" s="276"/>
      <c r="AB187" s="278" t="str">
        <f t="shared" si="26"/>
        <v>GoldUmicore S.A. Business Unit Precious Metals Refining</v>
      </c>
    </row>
    <row r="188" spans="1:28" s="277" customFormat="1" ht="24.75">
      <c r="A188" s="468" t="s">
        <v>756</v>
      </c>
      <c r="B188" s="217" t="s">
        <v>1153</v>
      </c>
      <c r="C188" s="450" t="s">
        <v>843</v>
      </c>
      <c r="D188" s="217"/>
      <c r="E188" s="217" t="s">
        <v>2576</v>
      </c>
      <c r="F188" s="217" t="s">
        <v>756</v>
      </c>
      <c r="G188" s="217" t="s">
        <v>13577</v>
      </c>
      <c r="H188" s="451" t="s">
        <v>16189</v>
      </c>
      <c r="I188" s="452" t="s">
        <v>1711</v>
      </c>
      <c r="J188" s="452" t="s">
        <v>1647</v>
      </c>
      <c r="K188" s="453" t="s">
        <v>16190</v>
      </c>
      <c r="L188" s="453" t="s">
        <v>16191</v>
      </c>
      <c r="M188" s="453" t="s">
        <v>15554</v>
      </c>
      <c r="N188" s="453" t="s">
        <v>15542</v>
      </c>
      <c r="O188" s="453" t="s">
        <v>15909</v>
      </c>
      <c r="P188" s="454" t="s">
        <v>499</v>
      </c>
      <c r="Q188" s="455" t="s">
        <v>15513</v>
      </c>
      <c r="R188" s="217" t="str">
        <f ca="1">IF(ISERROR($V188),"",OFFSET('Smelter Look-up'!$C$4,$V188-4,0)&amp;"")</f>
        <v>United Precious Metal Refining, Inc.</v>
      </c>
      <c r="S188" s="225" t="str">
        <f t="shared" ca="1" si="24"/>
        <v>US</v>
      </c>
      <c r="T188" s="225" t="str">
        <f ca="1">IF(B188="","",IF(ISERROR(MATCH($J188,SorP!$B$1:$B$6230,0)),"",INDIRECT("'SorP'!$A$"&amp;MATCH($J188,SorP!$B$1:$B$6230,0))))</f>
        <v>US-NY</v>
      </c>
      <c r="U188" s="241"/>
      <c r="V188" s="275">
        <f>IF(C188="",NA(),MATCH($B188&amp;$C188,'Smelter Look-up'!$J:$J,0))</f>
        <v>268</v>
      </c>
      <c r="W188" s="276"/>
      <c r="X188" s="276">
        <f t="shared" si="25"/>
        <v>0</v>
      </c>
      <c r="Y188" s="276"/>
      <c r="Z188" s="276"/>
      <c r="AB188" s="278" t="str">
        <f t="shared" si="26"/>
        <v>GoldUnited Precious Metal Refining, Inc.</v>
      </c>
    </row>
    <row r="189" spans="1:28" s="277" customFormat="1" ht="24.75">
      <c r="A189" s="216" t="s">
        <v>757</v>
      </c>
      <c r="B189" s="217" t="s">
        <v>1153</v>
      </c>
      <c r="C189" s="450" t="s">
        <v>2460</v>
      </c>
      <c r="D189" s="217"/>
      <c r="E189" s="217" t="s">
        <v>1121</v>
      </c>
      <c r="F189" s="217" t="s">
        <v>757</v>
      </c>
      <c r="G189" s="217" t="s">
        <v>13577</v>
      </c>
      <c r="H189" s="451" t="s">
        <v>16192</v>
      </c>
      <c r="I189" s="452" t="s">
        <v>1712</v>
      </c>
      <c r="J189" s="452" t="s">
        <v>1579</v>
      </c>
      <c r="K189" s="453" t="s">
        <v>16193</v>
      </c>
      <c r="L189" s="453" t="s">
        <v>16194</v>
      </c>
      <c r="M189" s="453" t="s">
        <v>16195</v>
      </c>
      <c r="N189" s="453" t="s">
        <v>15511</v>
      </c>
      <c r="O189" s="453" t="s">
        <v>15814</v>
      </c>
      <c r="P189" s="454" t="s">
        <v>499</v>
      </c>
      <c r="Q189" s="455" t="s">
        <v>15520</v>
      </c>
      <c r="R189" s="217" t="str">
        <f ca="1">IF(ISERROR($V189),"",OFFSET('Smelter Look-up'!$C$4,$V189-4,0)&amp;"")</f>
        <v>Valcambi S.A.</v>
      </c>
      <c r="S189" s="225" t="str">
        <f t="shared" ca="1" si="24"/>
        <v>CH</v>
      </c>
      <c r="T189" s="225" t="str">
        <f ca="1">IF(B189="","",IF(ISERROR(MATCH($J189,SorP!$B$1:$B$6230,0)),"",INDIRECT("'SorP'!$A$"&amp;MATCH($J189,SorP!$B$1:$B$6230,0))))</f>
        <v>CH-TI</v>
      </c>
      <c r="U189" s="241"/>
      <c r="V189" s="275">
        <f>IF(C189="",NA(),MATCH($B189&amp;$C189,'Smelter Look-up'!$J:$J,0))</f>
        <v>269</v>
      </c>
      <c r="W189" s="276"/>
      <c r="X189" s="276">
        <f t="shared" si="25"/>
        <v>0</v>
      </c>
      <c r="Y189" s="276"/>
      <c r="Z189" s="276"/>
      <c r="AB189" s="278" t="str">
        <f t="shared" si="26"/>
        <v>GoldValcambi S.A.</v>
      </c>
    </row>
    <row r="190" spans="1:28" s="277" customFormat="1" ht="49.5">
      <c r="A190" s="216" t="s">
        <v>16196</v>
      </c>
      <c r="B190" s="217" t="s">
        <v>1156</v>
      </c>
      <c r="C190" s="450" t="s">
        <v>16197</v>
      </c>
      <c r="D190" s="217"/>
      <c r="E190" s="217" t="s">
        <v>915</v>
      </c>
      <c r="F190" s="217" t="s">
        <v>16196</v>
      </c>
      <c r="G190" s="217" t="s">
        <v>13577</v>
      </c>
      <c r="H190" s="451" t="s">
        <v>16198</v>
      </c>
      <c r="I190" s="452" t="s">
        <v>1872</v>
      </c>
      <c r="J190" s="452" t="s">
        <v>12427</v>
      </c>
      <c r="K190" s="453" t="s">
        <v>16199</v>
      </c>
      <c r="L190" s="453" t="s">
        <v>16200</v>
      </c>
      <c r="M190" s="453" t="s">
        <v>15550</v>
      </c>
      <c r="N190" s="453" t="s">
        <v>15542</v>
      </c>
      <c r="O190" s="453" t="s">
        <v>16201</v>
      </c>
      <c r="P190" s="454" t="s">
        <v>499</v>
      </c>
      <c r="Q190" s="455" t="s">
        <v>15513</v>
      </c>
      <c r="R190" s="217" t="str">
        <f ca="1">IF(ISERROR($V190),"",OFFSET('Smelter Look-up'!$C$4,$V190-4,0)&amp;"")</f>
        <v/>
      </c>
      <c r="S190" s="225" t="str">
        <f t="shared" ca="1" si="24"/>
        <v>VN</v>
      </c>
      <c r="T190" s="225" t="str">
        <f ca="1">IF(B190="","",IF(ISERROR(MATCH($J190,SorP!$B$1:$B$6230,0)),"",INDIRECT("'SorP'!$A$"&amp;MATCH($J190,SorP!$B$1:$B$6230,0))))</f>
        <v>VN-13</v>
      </c>
      <c r="U190" s="241"/>
      <c r="V190" s="275" t="e">
        <f>IF(C190="",NA(),MATCH($B190&amp;$C190,'Smelter Look-up'!$J:$J,0))</f>
        <v>#N/A</v>
      </c>
      <c r="W190" s="276"/>
      <c r="X190" s="276">
        <f t="shared" si="25"/>
        <v>0</v>
      </c>
      <c r="Y190" s="276"/>
      <c r="Z190" s="276"/>
      <c r="AB190" s="278" t="str">
        <f t="shared" si="26"/>
        <v>TungstenVietnam Youngsun Tungsten Industry Co., Ltd.</v>
      </c>
    </row>
    <row r="191" spans="1:28" s="277" customFormat="1" ht="20.25">
      <c r="A191" s="458" t="s">
        <v>16202</v>
      </c>
      <c r="B191" s="459" t="s">
        <v>1154</v>
      </c>
      <c r="C191" s="450" t="s">
        <v>16203</v>
      </c>
      <c r="D191" s="217"/>
      <c r="E191" s="217" t="s">
        <v>915</v>
      </c>
      <c r="F191" s="217" t="s">
        <v>16202</v>
      </c>
      <c r="G191" s="217" t="s">
        <v>15611</v>
      </c>
      <c r="H191" s="451">
        <v>0</v>
      </c>
      <c r="I191" s="452" t="s">
        <v>16204</v>
      </c>
      <c r="J191" s="452" t="s">
        <v>12497</v>
      </c>
      <c r="K191" s="453"/>
      <c r="L191" s="453"/>
      <c r="M191" s="453"/>
      <c r="N191" s="463"/>
      <c r="O191" s="463"/>
      <c r="P191" s="461" t="s">
        <v>499</v>
      </c>
      <c r="Q191" s="462" t="s">
        <v>15627</v>
      </c>
      <c r="R191" s="217" t="str">
        <f ca="1">IF(ISERROR($V191),"",OFFSET('Smelter Look-up'!$C$4,$V191-4,0)&amp;"")</f>
        <v/>
      </c>
      <c r="S191" s="225" t="str">
        <f t="shared" ca="1" si="24"/>
        <v>VN</v>
      </c>
      <c r="T191" s="225" t="str">
        <f ca="1">IF(B191="","",IF(ISERROR(MATCH($J191,SorP!$B$1:$B$6230,0)),"",INDIRECT("'SorP'!$A$"&amp;MATCH($J191,SorP!$B$1:$B$6230,0))))</f>
        <v>VN-HN</v>
      </c>
      <c r="U191" s="241"/>
      <c r="V191" s="275" t="e">
        <f>IF(C191="",NA(),MATCH($B191&amp;$C191,'Smelter Look-up'!$J:$J,0))</f>
        <v>#N/A</v>
      </c>
      <c r="W191" s="276"/>
      <c r="X191" s="276">
        <f t="shared" si="25"/>
        <v>0</v>
      </c>
      <c r="Y191" s="276"/>
      <c r="Z191" s="276"/>
      <c r="AB191" s="278" t="str">
        <f t="shared" si="26"/>
        <v>TinVQB Mineral and Trading Group JSC</v>
      </c>
    </row>
    <row r="192" spans="1:28" s="277" customFormat="1" ht="24.75">
      <c r="A192" s="216" t="s">
        <v>758</v>
      </c>
      <c r="B192" s="217" t="s">
        <v>1153</v>
      </c>
      <c r="C192" s="450" t="s">
        <v>2634</v>
      </c>
      <c r="D192" s="217"/>
      <c r="E192" s="217" t="s">
        <v>1116</v>
      </c>
      <c r="F192" s="217" t="s">
        <v>758</v>
      </c>
      <c r="G192" s="217" t="s">
        <v>13577</v>
      </c>
      <c r="H192" s="451" t="s">
        <v>16205</v>
      </c>
      <c r="I192" s="452" t="s">
        <v>1713</v>
      </c>
      <c r="J192" s="452" t="s">
        <v>1714</v>
      </c>
      <c r="K192" s="453" t="s">
        <v>16206</v>
      </c>
      <c r="L192" s="453" t="s">
        <v>16207</v>
      </c>
      <c r="M192" s="453" t="s">
        <v>16208</v>
      </c>
      <c r="N192" s="453" t="s">
        <v>16209</v>
      </c>
      <c r="O192" s="453" t="s">
        <v>1714</v>
      </c>
      <c r="P192" s="454" t="s">
        <v>499</v>
      </c>
      <c r="Q192" s="455" t="s">
        <v>15513</v>
      </c>
      <c r="R192" s="217" t="str">
        <f ca="1">IF(ISERROR($V192),"",OFFSET('Smelter Look-up'!$C$4,$V192-4,0)&amp;"")</f>
        <v>Western Australian Mint (T/a The Perth Mint)</v>
      </c>
      <c r="S192" s="225" t="str">
        <f t="shared" ca="1" si="24"/>
        <v>AU</v>
      </c>
      <c r="T192" s="225" t="str">
        <f ca="1">IF(B192="","",IF(ISERROR(MATCH($J192,SorP!$B$1:$B$6230,0)),"",INDIRECT("'SorP'!$A$"&amp;MATCH($J192,SorP!$B$1:$B$6230,0))))</f>
        <v>AU-WA</v>
      </c>
      <c r="U192" s="241"/>
      <c r="V192" s="275">
        <f>IF(C192="",NA(),MATCH($B192&amp;$C192,'Smelter Look-up'!$J:$J,0))</f>
        <v>270</v>
      </c>
      <c r="W192" s="276"/>
      <c r="X192" s="276">
        <f t="shared" si="25"/>
        <v>0</v>
      </c>
      <c r="Y192" s="276"/>
      <c r="Z192" s="276"/>
      <c r="AB192" s="278" t="str">
        <f t="shared" si="26"/>
        <v>GoldWestern Australian Mint (T/a The Perth Mint)</v>
      </c>
    </row>
    <row r="193" spans="1:28" s="277" customFormat="1" ht="24.75">
      <c r="A193" s="216" t="s">
        <v>807</v>
      </c>
      <c r="B193" s="217" t="s">
        <v>1154</v>
      </c>
      <c r="C193" s="450" t="s">
        <v>2681</v>
      </c>
      <c r="D193" s="217"/>
      <c r="E193" s="217" t="s">
        <v>1119</v>
      </c>
      <c r="F193" s="217" t="s">
        <v>807</v>
      </c>
      <c r="G193" s="217" t="s">
        <v>13577</v>
      </c>
      <c r="H193" s="451" t="s">
        <v>16210</v>
      </c>
      <c r="I193" s="452" t="s">
        <v>1804</v>
      </c>
      <c r="J193" s="452" t="s">
        <v>1808</v>
      </c>
      <c r="K193" s="453" t="s">
        <v>16211</v>
      </c>
      <c r="L193" s="453" t="s">
        <v>16212</v>
      </c>
      <c r="M193" s="453" t="s">
        <v>16213</v>
      </c>
      <c r="N193" s="453" t="s">
        <v>16214</v>
      </c>
      <c r="O193" s="453" t="s">
        <v>15887</v>
      </c>
      <c r="P193" s="454" t="s">
        <v>499</v>
      </c>
      <c r="Q193" s="455" t="s">
        <v>15513</v>
      </c>
      <c r="R193" s="217" t="str">
        <f ca="1">IF(ISERROR($V193),"",OFFSET('Smelter Look-up'!$C$4,$V193-4,0)&amp;"")</f>
        <v>White Solder Metalurgia e Mineracao Ltda.</v>
      </c>
      <c r="S193" s="225" t="str">
        <f t="shared" ca="1" si="24"/>
        <v>BR</v>
      </c>
      <c r="T193" s="225" t="str">
        <f ca="1">IF(B193="","",IF(ISERROR(MATCH($J193,SorP!$B$1:$B$6230,0)),"",INDIRECT("'SorP'!$A$"&amp;MATCH($J193,SorP!$B$1:$B$6230,0))))</f>
        <v>BR-RO</v>
      </c>
      <c r="U193" s="241"/>
      <c r="V193" s="275">
        <f>IF(C193="",NA(),MATCH($B193&amp;$C193,'Smelter Look-up'!$J:$J,0))</f>
        <v>465</v>
      </c>
      <c r="W193" s="276"/>
      <c r="X193" s="276">
        <f t="shared" si="25"/>
        <v>0</v>
      </c>
      <c r="Y193" s="276"/>
      <c r="Z193" s="276"/>
      <c r="AB193" s="278" t="str">
        <f t="shared" si="26"/>
        <v>TinWhite Solder Metalurgia e Mineracao Ltda.</v>
      </c>
    </row>
    <row r="194" spans="1:28" s="277" customFormat="1" ht="24.75">
      <c r="A194" s="216" t="s">
        <v>822</v>
      </c>
      <c r="B194" s="217" t="s">
        <v>1156</v>
      </c>
      <c r="C194" s="450" t="s">
        <v>2690</v>
      </c>
      <c r="D194" s="217"/>
      <c r="E194" s="217" t="s">
        <v>1117</v>
      </c>
      <c r="F194" s="217" t="s">
        <v>822</v>
      </c>
      <c r="G194" s="217" t="s">
        <v>13577</v>
      </c>
      <c r="H194" s="451" t="s">
        <v>16215</v>
      </c>
      <c r="I194" s="452" t="s">
        <v>1873</v>
      </c>
      <c r="J194" s="452" t="s">
        <v>2962</v>
      </c>
      <c r="K194" s="453" t="s">
        <v>16216</v>
      </c>
      <c r="L194" s="453" t="s">
        <v>16217</v>
      </c>
      <c r="M194" s="453" t="s">
        <v>16218</v>
      </c>
      <c r="N194" s="453" t="s">
        <v>15542</v>
      </c>
      <c r="O194" s="453" t="s">
        <v>16219</v>
      </c>
      <c r="P194" s="454" t="s">
        <v>499</v>
      </c>
      <c r="Q194" s="455" t="s">
        <v>15513</v>
      </c>
      <c r="R194" s="217" t="str">
        <f ca="1">IF(ISERROR($V194),"",OFFSET('Smelter Look-up'!$C$4,$V194-4,0)&amp;"")</f>
        <v>Wolfram Bergbau und Hutten AG</v>
      </c>
      <c r="S194" s="225" t="str">
        <f t="shared" ca="1" si="24"/>
        <v>AT</v>
      </c>
      <c r="T194" s="225" t="str">
        <f ca="1">IF(B194="","",IF(ISERROR(MATCH($J194,SorP!$B$1:$B$6230,0)),"",INDIRECT("'SorP'!$A$"&amp;MATCH($J194,SorP!$B$1:$B$6230,0))))</f>
        <v>AT-6</v>
      </c>
      <c r="U194" s="241"/>
      <c r="V194" s="275">
        <f>IF(C194="",NA(),MATCH($B194&amp;$C194,'Smelter Look-up'!$J:$J,0))</f>
        <v>553</v>
      </c>
      <c r="W194" s="276"/>
      <c r="X194" s="276">
        <f t="shared" si="25"/>
        <v>0</v>
      </c>
      <c r="Y194" s="276"/>
      <c r="Z194" s="276"/>
      <c r="AB194" s="278" t="str">
        <f t="shared" si="26"/>
        <v>TungstenWolfram Bergbau und Hutten AG</v>
      </c>
    </row>
    <row r="195" spans="1:28" s="277" customFormat="1" ht="37.15">
      <c r="A195" s="216" t="s">
        <v>823</v>
      </c>
      <c r="B195" s="217" t="s">
        <v>1156</v>
      </c>
      <c r="C195" s="450" t="s">
        <v>1406</v>
      </c>
      <c r="D195" s="217"/>
      <c r="E195" s="217" t="s">
        <v>1123</v>
      </c>
      <c r="F195" s="217" t="s">
        <v>823</v>
      </c>
      <c r="G195" s="217" t="s">
        <v>13577</v>
      </c>
      <c r="H195" s="451" t="s">
        <v>16220</v>
      </c>
      <c r="I195" s="452" t="s">
        <v>1876</v>
      </c>
      <c r="J195" s="452" t="s">
        <v>15705</v>
      </c>
      <c r="K195" s="453" t="s">
        <v>16221</v>
      </c>
      <c r="L195" s="453" t="s">
        <v>16222</v>
      </c>
      <c r="M195" s="453" t="s">
        <v>16223</v>
      </c>
      <c r="N195" s="453" t="s">
        <v>16224</v>
      </c>
      <c r="O195" s="453" t="s">
        <v>16225</v>
      </c>
      <c r="P195" s="454" t="s">
        <v>499</v>
      </c>
      <c r="Q195" s="455" t="s">
        <v>15513</v>
      </c>
      <c r="R195" s="217" t="str">
        <f ca="1">IF(ISERROR($V195),"",OFFSET('Smelter Look-up'!$C$4,$V195-4,0)&amp;"")</f>
        <v>Xiamen Tungsten Co., Ltd.</v>
      </c>
      <c r="S195" s="225" t="str">
        <f t="shared" ca="1" si="24"/>
        <v>CN</v>
      </c>
      <c r="T195" s="225" t="str">
        <f ca="1">IF(B195="","",IF(ISERROR(MATCH($J195,SorP!$B$1:$B$6230,0)),"",INDIRECT("'SorP'!$A$"&amp;MATCH($J195,SorP!$B$1:$B$6230,0))))</f>
        <v/>
      </c>
      <c r="U195" s="241"/>
      <c r="V195" s="275">
        <f>IF(C195="",NA(),MATCH($B195&amp;$C195,'Smelter Look-up'!$J:$J,0))</f>
        <v>558</v>
      </c>
      <c r="W195" s="276"/>
      <c r="X195" s="276">
        <f t="shared" si="25"/>
        <v>0</v>
      </c>
      <c r="Y195" s="276"/>
      <c r="Z195" s="276"/>
      <c r="AB195" s="278" t="str">
        <f t="shared" si="26"/>
        <v>TungstenXiamen Tungsten Co., Ltd.</v>
      </c>
    </row>
    <row r="196" spans="1:28" s="277" customFormat="1" ht="37.15">
      <c r="A196" s="216" t="s">
        <v>825</v>
      </c>
      <c r="B196" s="217" t="s">
        <v>1156</v>
      </c>
      <c r="C196" s="450" t="s">
        <v>839</v>
      </c>
      <c r="D196" s="217"/>
      <c r="E196" s="217" t="s">
        <v>1123</v>
      </c>
      <c r="F196" s="217" t="s">
        <v>825</v>
      </c>
      <c r="G196" s="217" t="s">
        <v>13577</v>
      </c>
      <c r="H196" s="451" t="s">
        <v>16226</v>
      </c>
      <c r="I196" s="452" t="s">
        <v>1877</v>
      </c>
      <c r="J196" s="452" t="s">
        <v>15584</v>
      </c>
      <c r="K196" s="453" t="s">
        <v>16227</v>
      </c>
      <c r="L196" s="453" t="s">
        <v>16228</v>
      </c>
      <c r="M196" s="453" t="s">
        <v>15554</v>
      </c>
      <c r="N196" s="453" t="s">
        <v>15511</v>
      </c>
      <c r="O196" s="453" t="s">
        <v>15807</v>
      </c>
      <c r="P196" s="454" t="s">
        <v>499</v>
      </c>
      <c r="Q196" s="455" t="s">
        <v>15513</v>
      </c>
      <c r="R196" s="217" t="str">
        <f ca="1">IF(ISERROR($V196),"",OFFSET('Smelter Look-up'!$C$4,$V196-4,0)&amp;"")</f>
        <v>Xinhai Rendan Shaoguan Tungsten Co., Ltd.</v>
      </c>
      <c r="S196" s="225" t="str">
        <f t="shared" ca="1" si="24"/>
        <v>CN</v>
      </c>
      <c r="T196" s="225" t="str">
        <f ca="1">IF(B196="","",IF(ISERROR(MATCH($J196,SorP!$B$1:$B$6230,0)),"",INDIRECT("'SorP'!$A$"&amp;MATCH($J196,SorP!$B$1:$B$6230,0))))</f>
        <v/>
      </c>
      <c r="U196" s="241"/>
      <c r="V196" s="275">
        <f>IF(C196="",NA(),MATCH($B196&amp;$C196,'Smelter Look-up'!$J:$J,0))</f>
        <v>560</v>
      </c>
      <c r="W196" s="276"/>
      <c r="X196" s="276">
        <f t="shared" si="25"/>
        <v>0</v>
      </c>
      <c r="Y196" s="276"/>
      <c r="Z196" s="276"/>
      <c r="AB196" s="278" t="str">
        <f t="shared" si="26"/>
        <v>TungstenXinhai Rendan Shaoguan Tungsten Co., Ltd.</v>
      </c>
    </row>
    <row r="197" spans="1:28" s="277" customFormat="1" ht="24.75">
      <c r="A197" s="216" t="s">
        <v>759</v>
      </c>
      <c r="B197" s="217" t="s">
        <v>1153</v>
      </c>
      <c r="C197" s="450" t="s">
        <v>13261</v>
      </c>
      <c r="D197" s="217"/>
      <c r="E197" s="217" t="s">
        <v>1131</v>
      </c>
      <c r="F197" s="217" t="s">
        <v>759</v>
      </c>
      <c r="G197" s="217" t="s">
        <v>13577</v>
      </c>
      <c r="H197" s="451" t="s">
        <v>16229</v>
      </c>
      <c r="I197" s="452" t="s">
        <v>13277</v>
      </c>
      <c r="J197" s="452" t="s">
        <v>6848</v>
      </c>
      <c r="K197" s="453" t="s">
        <v>16230</v>
      </c>
      <c r="L197" s="453" t="s">
        <v>16231</v>
      </c>
      <c r="M197" s="453" t="s">
        <v>15554</v>
      </c>
      <c r="N197" s="453" t="s">
        <v>15542</v>
      </c>
      <c r="O197" s="453" t="s">
        <v>15909</v>
      </c>
      <c r="P197" s="454" t="s">
        <v>499</v>
      </c>
      <c r="Q197" s="455" t="s">
        <v>15520</v>
      </c>
      <c r="R197" s="217" t="str">
        <f ca="1">IF(ISERROR($V197),"",OFFSET('Smelter Look-up'!$C$4,$V197-4,0)&amp;"")</f>
        <v>Yamakin Co., Ltd.</v>
      </c>
      <c r="S197" s="225" t="str">
        <f t="shared" ref="S197" ca="1" si="27">IF(B197="","",IF(ISERROR(MATCH($E197,CL,0)),"Unknown",INDIRECT("'C'!$A$"&amp;MATCH($E197,CL,0)+1)))</f>
        <v>JP</v>
      </c>
      <c r="T197" s="225" t="str">
        <f ca="1">IF(B197="","",IF(ISERROR(MATCH($J197,SorP!$B$1:$B$6230,0)),"",INDIRECT("'SorP'!$A$"&amp;MATCH($J197,SorP!$B$1:$B$6230,0))))</f>
        <v>JP-39</v>
      </c>
      <c r="U197" s="241"/>
      <c r="V197" s="275">
        <f>IF(C197="",NA(),MATCH($B197&amp;$C197,'Smelter Look-up'!$J:$J,0))</f>
        <v>275</v>
      </c>
      <c r="W197" s="276"/>
      <c r="X197" s="276">
        <f t="shared" ref="X197" si="28">IF(AND(C197="Smelter not listed",OR(LEN(D197)=0,LEN(E197)=0)),1,0)</f>
        <v>0</v>
      </c>
      <c r="Y197" s="276"/>
      <c r="Z197" s="276"/>
      <c r="AB197" s="278" t="str">
        <f t="shared" ref="AB197" si="29">B197&amp;C197</f>
        <v>GoldYamakin Co., Ltd.</v>
      </c>
    </row>
    <row r="198" spans="1:28" s="277" customFormat="1" ht="37.15">
      <c r="A198" s="216" t="s">
        <v>760</v>
      </c>
      <c r="B198" s="217" t="s">
        <v>1153</v>
      </c>
      <c r="C198" s="450" t="s">
        <v>2272</v>
      </c>
      <c r="D198" s="217"/>
      <c r="E198" s="217" t="s">
        <v>1131</v>
      </c>
      <c r="F198" s="217" t="s">
        <v>760</v>
      </c>
      <c r="G198" s="217" t="s">
        <v>13577</v>
      </c>
      <c r="H198" s="451" t="s">
        <v>16232</v>
      </c>
      <c r="I198" s="452" t="s">
        <v>1719</v>
      </c>
      <c r="J198" s="452" t="s">
        <v>1697</v>
      </c>
      <c r="K198" s="453" t="s">
        <v>16233</v>
      </c>
      <c r="L198" s="453" t="s">
        <v>16234</v>
      </c>
      <c r="M198" s="453" t="s">
        <v>16235</v>
      </c>
      <c r="N198" s="453" t="s">
        <v>15518</v>
      </c>
      <c r="O198" s="453" t="s">
        <v>15519</v>
      </c>
      <c r="P198" s="454" t="s">
        <v>498</v>
      </c>
      <c r="Q198" s="455" t="s">
        <v>15520</v>
      </c>
      <c r="R198" s="217" t="str">
        <f ca="1">IF(ISERROR($V198),"",OFFSET('Smelter Look-up'!$C$4,$V198-4,0)&amp;"")</f>
        <v>Yokohama Metal Co., Ltd.</v>
      </c>
      <c r="S198" s="225" t="str">
        <f t="shared" ref="S198:S229" ca="1" si="30">IF(B198="","",IF(ISERROR(MATCH($E198,CL,0)),"Unknown",INDIRECT("'C'!$A$"&amp;MATCH($E198,CL,0)+1)))</f>
        <v>JP</v>
      </c>
      <c r="T198" s="225" t="str">
        <f ca="1">IF(B198="","",IF(ISERROR(MATCH($J198,SorP!$B$1:$B$6230,0)),"",INDIRECT("'SorP'!$A$"&amp;MATCH($J198,SorP!$B$1:$B$6230,0))))</f>
        <v>JP-14</v>
      </c>
      <c r="U198" s="241"/>
      <c r="V198" s="275">
        <f>IF(C198="",NA(),MATCH($B198&amp;$C198,'Smelter Look-up'!$J:$J,0))</f>
        <v>280</v>
      </c>
      <c r="W198" s="276"/>
      <c r="X198" s="276">
        <f t="shared" ref="X198:X229" si="31">IF(AND(C198="Smelter not listed",OR(LEN(D198)=0,LEN(E198)=0)),1,0)</f>
        <v>0</v>
      </c>
      <c r="Y198" s="276"/>
      <c r="Z198" s="276"/>
      <c r="AB198" s="278" t="str">
        <f t="shared" ref="AB198:AB229" si="32">B198&amp;C198</f>
        <v>GoldYokohama Metal Co., Ltd.</v>
      </c>
    </row>
    <row r="199" spans="1:28" s="277" customFormat="1" ht="24.75">
      <c r="A199" s="216" t="s">
        <v>808</v>
      </c>
      <c r="B199" s="217" t="s">
        <v>1154</v>
      </c>
      <c r="C199" s="450" t="s">
        <v>2273</v>
      </c>
      <c r="D199" s="217"/>
      <c r="E199" s="217" t="s">
        <v>1123</v>
      </c>
      <c r="F199" s="217" t="s">
        <v>808</v>
      </c>
      <c r="G199" s="217" t="s">
        <v>13577</v>
      </c>
      <c r="H199" s="451" t="s">
        <v>16236</v>
      </c>
      <c r="I199" s="452" t="s">
        <v>2590</v>
      </c>
      <c r="J199" s="452" t="s">
        <v>15578</v>
      </c>
      <c r="K199" s="453" t="s">
        <v>16237</v>
      </c>
      <c r="L199" s="453" t="s">
        <v>16238</v>
      </c>
      <c r="M199" s="453" t="s">
        <v>16239</v>
      </c>
      <c r="N199" s="453" t="s">
        <v>16240</v>
      </c>
      <c r="O199" s="453" t="s">
        <v>15512</v>
      </c>
      <c r="P199" s="454" t="s">
        <v>499</v>
      </c>
      <c r="Q199" s="455" t="s">
        <v>15513</v>
      </c>
      <c r="R199" s="217" t="str">
        <f ca="1">IF(ISERROR($V199),"",OFFSET('Smelter Look-up'!$C$4,$V199-4,0)&amp;"")</f>
        <v>Yunnan Chengfeng Non-ferrous Metals Co., Ltd.</v>
      </c>
      <c r="S199" s="225" t="str">
        <f t="shared" ca="1" si="30"/>
        <v>CN</v>
      </c>
      <c r="T199" s="225" t="str">
        <f ca="1">IF(B199="","",IF(ISERROR(MATCH($J199,SorP!$B$1:$B$6230,0)),"",INDIRECT("'SorP'!$A$"&amp;MATCH($J199,SorP!$B$1:$B$6230,0))))</f>
        <v/>
      </c>
      <c r="U199" s="241"/>
      <c r="V199" s="275">
        <f>IF(C199="",NA(),MATCH($B199&amp;$C199,'Smelter Look-up'!$J:$J,0))</f>
        <v>473</v>
      </c>
      <c r="W199" s="276"/>
      <c r="X199" s="276">
        <f t="shared" si="31"/>
        <v>0</v>
      </c>
      <c r="Y199" s="276"/>
      <c r="Z199" s="276"/>
      <c r="AB199" s="278" t="str">
        <f t="shared" si="32"/>
        <v>TinYunnan Chengfeng Non-ferrous Metals Co., Ltd.</v>
      </c>
    </row>
    <row r="200" spans="1:28" s="277" customFormat="1" ht="37.15">
      <c r="A200" s="216" t="s">
        <v>809</v>
      </c>
      <c r="B200" s="217" t="s">
        <v>1154</v>
      </c>
      <c r="C200" s="450" t="s">
        <v>2471</v>
      </c>
      <c r="D200" s="217"/>
      <c r="E200" s="217" t="s">
        <v>1123</v>
      </c>
      <c r="F200" s="217" t="s">
        <v>809</v>
      </c>
      <c r="G200" s="217" t="s">
        <v>13577</v>
      </c>
      <c r="H200" s="451" t="s">
        <v>16241</v>
      </c>
      <c r="I200" s="452" t="s">
        <v>2590</v>
      </c>
      <c r="J200" s="452" t="s">
        <v>15578</v>
      </c>
      <c r="K200" s="453" t="s">
        <v>16242</v>
      </c>
      <c r="L200" s="453" t="s">
        <v>16243</v>
      </c>
      <c r="M200" s="453" t="s">
        <v>15554</v>
      </c>
      <c r="N200" s="453" t="s">
        <v>16244</v>
      </c>
      <c r="O200" s="453" t="s">
        <v>15512</v>
      </c>
      <c r="P200" s="454" t="s">
        <v>499</v>
      </c>
      <c r="Q200" s="455" t="s">
        <v>15513</v>
      </c>
      <c r="R200" s="217" t="str">
        <f ca="1">IF(ISERROR($V200),"",OFFSET('Smelter Look-up'!$C$4,$V200-4,0)&amp;"")</f>
        <v>Yunnan Tin Company Limited</v>
      </c>
      <c r="S200" s="225" t="str">
        <f t="shared" ca="1" si="30"/>
        <v>CN</v>
      </c>
      <c r="T200" s="225" t="str">
        <f ca="1">IF(B200="","",IF(ISERROR(MATCH($J200,SorP!$B$1:$B$6230,0)),"",INDIRECT("'SorP'!$A$"&amp;MATCH($J200,SorP!$B$1:$B$6230,0))))</f>
        <v/>
      </c>
      <c r="U200" s="241"/>
      <c r="V200" s="275">
        <f>IF(C200="",NA(),MATCH($B200&amp;$C200,'Smelter Look-up'!$J:$J,0))</f>
        <v>477</v>
      </c>
      <c r="W200" s="276"/>
      <c r="X200" s="276">
        <f t="shared" si="31"/>
        <v>0</v>
      </c>
      <c r="Y200" s="276"/>
      <c r="Z200" s="276"/>
      <c r="AB200" s="278" t="str">
        <f t="shared" si="32"/>
        <v>TinYunnan Tin Company Limited</v>
      </c>
    </row>
    <row r="201" spans="1:28" s="277" customFormat="1" ht="24.75">
      <c r="A201" s="216" t="s">
        <v>762</v>
      </c>
      <c r="B201" s="217" t="s">
        <v>1153</v>
      </c>
      <c r="C201" s="450" t="s">
        <v>1348</v>
      </c>
      <c r="D201" s="217"/>
      <c r="E201" s="217" t="s">
        <v>1123</v>
      </c>
      <c r="F201" s="217" t="s">
        <v>762</v>
      </c>
      <c r="G201" s="217" t="s">
        <v>13577</v>
      </c>
      <c r="H201" s="451" t="s">
        <v>16245</v>
      </c>
      <c r="I201" s="452" t="s">
        <v>1720</v>
      </c>
      <c r="J201" s="452" t="s">
        <v>15822</v>
      </c>
      <c r="K201" s="453" t="s">
        <v>14249</v>
      </c>
      <c r="L201" s="453" t="s">
        <v>16246</v>
      </c>
      <c r="M201" s="453" t="s">
        <v>15554</v>
      </c>
      <c r="N201" s="453" t="s">
        <v>16247</v>
      </c>
      <c r="O201" s="453" t="s">
        <v>15593</v>
      </c>
      <c r="P201" s="454" t="s">
        <v>499</v>
      </c>
      <c r="Q201" s="455" t="s">
        <v>15513</v>
      </c>
      <c r="R201" s="217" t="str">
        <f ca="1">IF(ISERROR($V201),"",OFFSET('Smelter Look-up'!$C$4,$V201-4,0)&amp;"")</f>
        <v>Zhongyuan Gold Smelter of Zhongjin Gold Corporation</v>
      </c>
      <c r="S201" s="225" t="str">
        <f t="shared" ca="1" si="30"/>
        <v>CN</v>
      </c>
      <c r="T201" s="225" t="str">
        <f ca="1">IF(B201="","",IF(ISERROR(MATCH($J201,SorP!$B$1:$B$6230,0)),"",INDIRECT("'SorP'!$A$"&amp;MATCH($J201,SorP!$B$1:$B$6230,0))))</f>
        <v/>
      </c>
      <c r="U201" s="241"/>
      <c r="V201" s="275">
        <f>IF(C201="",NA(),MATCH($B201&amp;$C201,'Smelter Look-up'!$J:$J,0))</f>
        <v>290</v>
      </c>
      <c r="W201" s="276"/>
      <c r="X201" s="276">
        <f t="shared" si="31"/>
        <v>0</v>
      </c>
      <c r="Y201" s="276"/>
      <c r="Z201" s="276"/>
      <c r="AB201" s="278" t="str">
        <f t="shared" si="32"/>
        <v>GoldZhongyuan Gold Smelter of Zhongjin Gold Corporation</v>
      </c>
    </row>
    <row r="202" spans="1:28" s="277" customFormat="1" ht="24.75">
      <c r="A202" s="458" t="s">
        <v>16248</v>
      </c>
      <c r="B202" s="459" t="s">
        <v>1155</v>
      </c>
      <c r="C202" s="450" t="s">
        <v>16249</v>
      </c>
      <c r="D202" s="217"/>
      <c r="E202" s="217" t="s">
        <v>1123</v>
      </c>
      <c r="F202" s="217" t="s">
        <v>16248</v>
      </c>
      <c r="G202" s="217" t="s">
        <v>15611</v>
      </c>
      <c r="H202" s="451">
        <v>0</v>
      </c>
      <c r="I202" s="452" t="s">
        <v>1769</v>
      </c>
      <c r="J202" s="452" t="s">
        <v>15580</v>
      </c>
      <c r="K202" s="453"/>
      <c r="L202" s="453"/>
      <c r="M202" s="453"/>
      <c r="N202" s="463" t="s">
        <v>15744</v>
      </c>
      <c r="O202" s="463" t="s">
        <v>15744</v>
      </c>
      <c r="P202" s="461" t="s">
        <v>499</v>
      </c>
      <c r="Q202" s="462" t="s">
        <v>15627</v>
      </c>
      <c r="R202" s="217" t="str">
        <f ca="1">IF(ISERROR($V202),"",OFFSET('Smelter Look-up'!$C$4,$V202-4,0)&amp;"")</f>
        <v/>
      </c>
      <c r="S202" s="225" t="str">
        <f t="shared" ca="1" si="30"/>
        <v>CN</v>
      </c>
      <c r="T202" s="225" t="str">
        <f ca="1">IF(B202="","",IF(ISERROR(MATCH($J202,SorP!$B$1:$B$6230,0)),"",INDIRECT("'SorP'!$A$"&amp;MATCH($J202,SorP!$B$1:$B$6230,0))))</f>
        <v/>
      </c>
      <c r="U202" s="241"/>
      <c r="V202" s="275" t="e">
        <f>IF(C202="",NA(),MATCH($B202&amp;$C202,'Smelter Look-up'!$J:$J,0))</f>
        <v>#N/A</v>
      </c>
      <c r="W202" s="276"/>
      <c r="X202" s="276">
        <f t="shared" si="31"/>
        <v>0</v>
      </c>
      <c r="Y202" s="276"/>
      <c r="Z202" s="276"/>
      <c r="AB202" s="278" t="str">
        <f t="shared" si="32"/>
        <v>TantalumZhuzhou Cemented Carbide Group Co., Ltd.</v>
      </c>
    </row>
    <row r="203" spans="1:28" s="277" customFormat="1" ht="20.25">
      <c r="A203" s="216" t="s">
        <v>763</v>
      </c>
      <c r="B203" s="217" t="s">
        <v>1153</v>
      </c>
      <c r="C203" s="450" t="s">
        <v>2642</v>
      </c>
      <c r="D203" s="217"/>
      <c r="E203" s="217" t="s">
        <v>1123</v>
      </c>
      <c r="F203" s="217" t="s">
        <v>763</v>
      </c>
      <c r="G203" s="217" t="s">
        <v>13577</v>
      </c>
      <c r="H203" s="451" t="s">
        <v>16250</v>
      </c>
      <c r="I203" s="452" t="s">
        <v>1723</v>
      </c>
      <c r="J203" s="452" t="s">
        <v>15705</v>
      </c>
      <c r="K203" s="453" t="s">
        <v>16251</v>
      </c>
      <c r="L203" s="453" t="s">
        <v>16252</v>
      </c>
      <c r="M203" s="453" t="s">
        <v>16253</v>
      </c>
      <c r="N203" s="453" t="s">
        <v>15511</v>
      </c>
      <c r="O203" s="453" t="s">
        <v>15533</v>
      </c>
      <c r="P203" s="454"/>
      <c r="Q203" s="455" t="s">
        <v>15513</v>
      </c>
      <c r="R203" s="217" t="str">
        <f ca="1">IF(ISERROR($V203),"",OFFSET('Smelter Look-up'!$C$4,$V203-4,0)&amp;"")</f>
        <v>Gold Refinery of Zijin Mining Group Co., Ltd.</v>
      </c>
      <c r="S203" s="225" t="str">
        <f t="shared" ca="1" si="30"/>
        <v>CN</v>
      </c>
      <c r="T203" s="225" t="str">
        <f ca="1">IF(B203="","",IF(ISERROR(MATCH($J203,SorP!$B$1:$B$6230,0)),"",INDIRECT("'SorP'!$A$"&amp;MATCH($J203,SorP!$B$1:$B$6230,0))))</f>
        <v/>
      </c>
      <c r="U203" s="241"/>
      <c r="V203" s="275">
        <f>IF(C203="",NA(),MATCH($B203&amp;$C203,'Smelter Look-up'!$J:$J,0))</f>
        <v>83</v>
      </c>
      <c r="W203" s="276"/>
      <c r="X203" s="276">
        <f t="shared" si="31"/>
        <v>0</v>
      </c>
      <c r="Y203" s="276"/>
      <c r="Z203" s="276"/>
      <c r="AB203" s="278" t="str">
        <f t="shared" si="32"/>
        <v>GoldGold Refinery of Zijin Mining Group Co., Ltd.</v>
      </c>
    </row>
    <row r="204" spans="1:28" s="277" customFormat="1" ht="20.25">
      <c r="A204" s="216" t="s">
        <v>2319</v>
      </c>
      <c r="B204" s="217" t="s">
        <v>1153</v>
      </c>
      <c r="C204" s="450" t="s">
        <v>2318</v>
      </c>
      <c r="D204" s="217"/>
      <c r="E204" s="217" t="s">
        <v>1140</v>
      </c>
      <c r="F204" s="217" t="s">
        <v>2319</v>
      </c>
      <c r="G204" s="217" t="s">
        <v>13577</v>
      </c>
      <c r="H204" s="451" t="s">
        <v>14249</v>
      </c>
      <c r="I204" s="452" t="s">
        <v>2438</v>
      </c>
      <c r="J204" s="452" t="s">
        <v>2320</v>
      </c>
      <c r="K204" s="453" t="s">
        <v>14249</v>
      </c>
      <c r="L204" s="453" t="s">
        <v>14249</v>
      </c>
      <c r="M204" s="453" t="s">
        <v>14249</v>
      </c>
      <c r="N204" s="453" t="s">
        <v>14249</v>
      </c>
      <c r="O204" s="453" t="s">
        <v>14249</v>
      </c>
      <c r="P204" s="454" t="s">
        <v>14249</v>
      </c>
      <c r="Q204" s="455" t="s">
        <v>14249</v>
      </c>
      <c r="R204" s="217" t="str">
        <f ca="1">IF(ISERROR($V204),"",OFFSET('Smelter Look-up'!$C$4,$V204-4,0)&amp;"")</f>
        <v>Morris and Watson</v>
      </c>
      <c r="S204" s="225" t="str">
        <f t="shared" ca="1" si="30"/>
        <v>NZ</v>
      </c>
      <c r="T204" s="225" t="str">
        <f ca="1">IF(B204="","",IF(ISERROR(MATCH($J204,SorP!$B$1:$B$6230,0)),"",INDIRECT("'SorP'!$A$"&amp;MATCH($J204,SorP!$B$1:$B$6230,0))))</f>
        <v>NZ-AUK</v>
      </c>
      <c r="U204" s="241"/>
      <c r="V204" s="275">
        <f>IF(C204="",NA(),MATCH($B204&amp;$C204,'Smelter Look-up'!$J:$J,0))</f>
        <v>169</v>
      </c>
      <c r="W204" s="276"/>
      <c r="X204" s="276">
        <f t="shared" si="31"/>
        <v>0</v>
      </c>
      <c r="Y204" s="276"/>
      <c r="Z204" s="276"/>
      <c r="AB204" s="278" t="str">
        <f t="shared" si="32"/>
        <v>GoldMorris and Watson</v>
      </c>
    </row>
    <row r="205" spans="1:28" s="277" customFormat="1" ht="20.25">
      <c r="A205" s="456" t="s">
        <v>2444</v>
      </c>
      <c r="B205" s="217" t="s">
        <v>1153</v>
      </c>
      <c r="C205" s="450" t="s">
        <v>2443</v>
      </c>
      <c r="D205" s="217"/>
      <c r="E205" s="217" t="s">
        <v>16254</v>
      </c>
      <c r="F205" s="217" t="s">
        <v>2444</v>
      </c>
      <c r="G205" s="457" t="s">
        <v>15611</v>
      </c>
      <c r="H205" s="451">
        <v>0</v>
      </c>
      <c r="I205" s="452" t="s">
        <v>2445</v>
      </c>
      <c r="J205" s="452" t="s">
        <v>1734</v>
      </c>
      <c r="K205" s="453"/>
      <c r="L205" s="453"/>
      <c r="M205" s="453"/>
      <c r="N205" s="453"/>
      <c r="O205" s="453"/>
      <c r="P205" s="454"/>
      <c r="Q205" s="455"/>
      <c r="R205" s="217" t="str">
        <f ca="1">IF(ISERROR($V205),"",OFFSET('Smelter Look-up'!$C$4,$V205-4,0)&amp;"")</f>
        <v>SAFINA A.S.</v>
      </c>
      <c r="S205" s="225" t="str">
        <f t="shared" ca="1" si="30"/>
        <v>Unknown</v>
      </c>
      <c r="T205" s="225" t="str">
        <f ca="1">IF(B205="","",IF(ISERROR(MATCH($J205,SorP!$B$1:$B$6230,0)),"",INDIRECT("'SorP'!$A$"&amp;MATCH($J205,SorP!$B$1:$B$6230,0))))</f>
        <v>ZW-HA</v>
      </c>
      <c r="U205" s="241"/>
      <c r="V205" s="275">
        <f>IF(C205="",NA(),MATCH($B205&amp;$C205,'Smelter Look-up'!$J:$J,0))</f>
        <v>206</v>
      </c>
      <c r="W205" s="276"/>
      <c r="X205" s="276">
        <f t="shared" si="31"/>
        <v>0</v>
      </c>
      <c r="Y205" s="276"/>
      <c r="Z205" s="276"/>
      <c r="AB205" s="278" t="str">
        <f t="shared" si="32"/>
        <v>GoldSAFINA A.S.</v>
      </c>
    </row>
    <row r="206" spans="1:28" s="277" customFormat="1" ht="24.75">
      <c r="A206" s="458" t="s">
        <v>16255</v>
      </c>
      <c r="B206" s="459" t="s">
        <v>1155</v>
      </c>
      <c r="C206" s="450" t="s">
        <v>16256</v>
      </c>
      <c r="D206" s="217"/>
      <c r="E206" s="217" t="s">
        <v>1123</v>
      </c>
      <c r="F206" s="217" t="s">
        <v>16255</v>
      </c>
      <c r="G206" s="217" t="s">
        <v>15611</v>
      </c>
      <c r="H206" s="451">
        <v>0</v>
      </c>
      <c r="I206" s="452" t="s">
        <v>16257</v>
      </c>
      <c r="J206" s="452" t="s">
        <v>15601</v>
      </c>
      <c r="K206" s="453"/>
      <c r="L206" s="453"/>
      <c r="M206" s="453"/>
      <c r="N206" s="463" t="s">
        <v>16258</v>
      </c>
      <c r="O206" s="463" t="s">
        <v>16258</v>
      </c>
      <c r="P206" s="461" t="s">
        <v>499</v>
      </c>
      <c r="Q206" s="462" t="s">
        <v>15627</v>
      </c>
      <c r="R206" s="217" t="str">
        <f ca="1">IF(ISERROR($V206),"",OFFSET('Smelter Look-up'!$C$4,$V206-4,0)&amp;"")</f>
        <v/>
      </c>
      <c r="S206" s="225" t="str">
        <f t="shared" ca="1" si="30"/>
        <v>CN</v>
      </c>
      <c r="T206" s="225" t="str">
        <f ca="1">IF(B206="","",IF(ISERROR(MATCH($J206,SorP!$B$1:$B$6230,0)),"",INDIRECT("'SorP'!$A$"&amp;MATCH($J206,SorP!$B$1:$B$6230,0))))</f>
        <v/>
      </c>
      <c r="U206" s="241"/>
      <c r="V206" s="275" t="e">
        <f>IF(C206="",NA(),MATCH($B206&amp;$C206,'Smelter Look-up'!$J:$J,0))</f>
        <v>#N/A</v>
      </c>
      <c r="W206" s="276"/>
      <c r="X206" s="276">
        <f t="shared" si="31"/>
        <v>0</v>
      </c>
      <c r="Y206" s="276"/>
      <c r="Z206" s="276"/>
      <c r="AB206" s="278" t="str">
        <f t="shared" si="32"/>
        <v>TantalumYichun Jin Yang Rare Metal Co., Ltd.</v>
      </c>
    </row>
    <row r="207" spans="1:28" s="277" customFormat="1" ht="24.75">
      <c r="A207" s="216" t="s">
        <v>693</v>
      </c>
      <c r="B207" s="217" t="s">
        <v>1153</v>
      </c>
      <c r="C207" s="450" t="s">
        <v>692</v>
      </c>
      <c r="D207" s="217"/>
      <c r="E207" s="217" t="s">
        <v>1123</v>
      </c>
      <c r="F207" s="217" t="s">
        <v>693</v>
      </c>
      <c r="G207" s="217" t="s">
        <v>13577</v>
      </c>
      <c r="H207" s="451" t="s">
        <v>14249</v>
      </c>
      <c r="I207" s="452" t="s">
        <v>1725</v>
      </c>
      <c r="J207" s="452" t="s">
        <v>15584</v>
      </c>
      <c r="K207" s="453" t="s">
        <v>16259</v>
      </c>
      <c r="L207" s="453" t="s">
        <v>16260</v>
      </c>
      <c r="M207" s="453" t="s">
        <v>14249</v>
      </c>
      <c r="N207" s="453" t="s">
        <v>14249</v>
      </c>
      <c r="O207" s="453" t="s">
        <v>14249</v>
      </c>
      <c r="P207" s="454" t="s">
        <v>14249</v>
      </c>
      <c r="Q207" s="455" t="s">
        <v>14249</v>
      </c>
      <c r="R207" s="217" t="str">
        <f ca="1">IF(ISERROR($V207),"",OFFSET('Smelter Look-up'!$C$4,$V207-4,0)&amp;"")</f>
        <v>Guangdong Jinding Gold Limited</v>
      </c>
      <c r="S207" s="225" t="str">
        <f t="shared" ca="1" si="30"/>
        <v>CN</v>
      </c>
      <c r="T207" s="225" t="str">
        <f ca="1">IF(B207="","",IF(ISERROR(MATCH($J207,SorP!$B$1:$B$6230,0)),"",INDIRECT("'SorP'!$A$"&amp;MATCH($J207,SorP!$B$1:$B$6230,0))))</f>
        <v/>
      </c>
      <c r="U207" s="241"/>
      <c r="V207" s="275">
        <f>IF(C207="",NA(),MATCH($B207&amp;$C207,'Smelter Look-up'!$J:$J,0))</f>
        <v>87</v>
      </c>
      <c r="W207" s="276"/>
      <c r="X207" s="276">
        <f t="shared" si="31"/>
        <v>0</v>
      </c>
      <c r="Y207" s="276"/>
      <c r="Z207" s="276"/>
      <c r="AB207" s="278" t="str">
        <f t="shared" si="32"/>
        <v>GoldGuangdong Jinding Gold Limited</v>
      </c>
    </row>
    <row r="208" spans="1:28" s="277" customFormat="1" ht="24.75">
      <c r="A208" s="216" t="s">
        <v>826</v>
      </c>
      <c r="B208" s="217" t="s">
        <v>1156</v>
      </c>
      <c r="C208" s="450" t="s">
        <v>838</v>
      </c>
      <c r="D208" s="217"/>
      <c r="E208" s="217" t="s">
        <v>1123</v>
      </c>
      <c r="F208" s="217" t="s">
        <v>826</v>
      </c>
      <c r="G208" s="217" t="s">
        <v>13577</v>
      </c>
      <c r="H208" s="451" t="s">
        <v>14249</v>
      </c>
      <c r="I208" s="452" t="s">
        <v>1879</v>
      </c>
      <c r="J208" s="452" t="s">
        <v>15601</v>
      </c>
      <c r="K208" s="453" t="s">
        <v>14249</v>
      </c>
      <c r="L208" s="453" t="s">
        <v>14249</v>
      </c>
      <c r="M208" s="453" t="s">
        <v>14249</v>
      </c>
      <c r="N208" s="453" t="s">
        <v>14249</v>
      </c>
      <c r="O208" s="453" t="s">
        <v>14249</v>
      </c>
      <c r="P208" s="454" t="s">
        <v>14249</v>
      </c>
      <c r="Q208" s="455" t="s">
        <v>14249</v>
      </c>
      <c r="R208" s="217" t="str">
        <f ca="1">IF(ISERROR($V208),"",OFFSET('Smelter Look-up'!$C$4,$V208-4,0)&amp;"")</f>
        <v>Jiangxi Minmetals Gao'an Non-ferrous Metals Co., Ltd.</v>
      </c>
      <c r="S208" s="225" t="str">
        <f t="shared" ca="1" si="30"/>
        <v>CN</v>
      </c>
      <c r="T208" s="225" t="str">
        <f ca="1">IF(B208="","",IF(ISERROR(MATCH($J208,SorP!$B$1:$B$6230,0)),"",INDIRECT("'SorP'!$A$"&amp;MATCH($J208,SorP!$B$1:$B$6230,0))))</f>
        <v/>
      </c>
      <c r="U208" s="241"/>
      <c r="V208" s="275">
        <f>IF(C208="",NA(),MATCH($B208&amp;$C208,'Smelter Look-up'!$J:$J,0))</f>
        <v>529</v>
      </c>
      <c r="W208" s="276"/>
      <c r="X208" s="276">
        <f t="shared" si="31"/>
        <v>0</v>
      </c>
      <c r="Y208" s="276"/>
      <c r="Z208" s="276"/>
      <c r="AB208" s="278" t="str">
        <f t="shared" si="32"/>
        <v>TungstenJiangxi Minmetals Gao'an Non-ferrous Metals Co., Ltd.</v>
      </c>
    </row>
    <row r="209" spans="1:28" s="277" customFormat="1" ht="24.75">
      <c r="A209" s="216" t="s">
        <v>150</v>
      </c>
      <c r="B209" s="217" t="s">
        <v>1153</v>
      </c>
      <c r="C209" s="450" t="s">
        <v>149</v>
      </c>
      <c r="D209" s="217"/>
      <c r="E209" s="217" t="s">
        <v>911</v>
      </c>
      <c r="F209" s="217" t="s">
        <v>150</v>
      </c>
      <c r="G209" s="217" t="s">
        <v>13577</v>
      </c>
      <c r="H209" s="451" t="s">
        <v>16261</v>
      </c>
      <c r="I209" s="452" t="s">
        <v>12734</v>
      </c>
      <c r="J209" s="452" t="s">
        <v>11380</v>
      </c>
      <c r="K209" s="453" t="s">
        <v>16262</v>
      </c>
      <c r="L209" s="453" t="s">
        <v>16263</v>
      </c>
      <c r="M209" s="453" t="s">
        <v>16264</v>
      </c>
      <c r="N209" s="453" t="s">
        <v>15511</v>
      </c>
      <c r="O209" s="453" t="s">
        <v>15814</v>
      </c>
      <c r="P209" s="454"/>
      <c r="Q209" s="455" t="s">
        <v>15520</v>
      </c>
      <c r="R209" s="217" t="str">
        <f ca="1">IF(ISERROR($V209),"",OFFSET('Smelter Look-up'!$C$4,$V209-4,0)&amp;"")</f>
        <v>Umicore Precious Metals Thailand</v>
      </c>
      <c r="S209" s="225" t="str">
        <f t="shared" ca="1" si="30"/>
        <v>TH</v>
      </c>
      <c r="T209" s="225" t="str">
        <f ca="1">IF(B209="","",IF(ISERROR(MATCH($J209,SorP!$B$1:$B$6230,0)),"",INDIRECT("'SorP'!$A$"&amp;MATCH($J209,SorP!$B$1:$B$6230,0))))</f>
        <v>TH-10</v>
      </c>
      <c r="U209" s="241"/>
      <c r="V209" s="275">
        <f>IF(C209="",NA(),MATCH($B209&amp;$C209,'Smelter Look-up'!$J:$J,0))</f>
        <v>266</v>
      </c>
      <c r="W209" s="276"/>
      <c r="X209" s="276">
        <f t="shared" si="31"/>
        <v>0</v>
      </c>
      <c r="Y209" s="276"/>
      <c r="Z209" s="276"/>
      <c r="AB209" s="278" t="str">
        <f t="shared" si="32"/>
        <v>GoldUmicore Precious Metals Thailand</v>
      </c>
    </row>
    <row r="210" spans="1:28" s="277" customFormat="1" ht="37.15">
      <c r="A210" s="216" t="s">
        <v>143</v>
      </c>
      <c r="B210" s="217" t="s">
        <v>1156</v>
      </c>
      <c r="C210" s="450" t="s">
        <v>154</v>
      </c>
      <c r="D210" s="217"/>
      <c r="E210" s="217" t="s">
        <v>1123</v>
      </c>
      <c r="F210" s="217" t="s">
        <v>143</v>
      </c>
      <c r="G210" s="217" t="s">
        <v>13577</v>
      </c>
      <c r="H210" s="451" t="s">
        <v>16265</v>
      </c>
      <c r="I210" s="452" t="s">
        <v>1812</v>
      </c>
      <c r="J210" s="452" t="s">
        <v>15601</v>
      </c>
      <c r="K210" s="453" t="s">
        <v>16266</v>
      </c>
      <c r="L210" s="453" t="s">
        <v>16267</v>
      </c>
      <c r="M210" s="453" t="s">
        <v>16268</v>
      </c>
      <c r="N210" s="453" t="s">
        <v>15542</v>
      </c>
      <c r="O210" s="453" t="s">
        <v>15909</v>
      </c>
      <c r="P210" s="454" t="s">
        <v>499</v>
      </c>
      <c r="Q210" s="455" t="s">
        <v>15513</v>
      </c>
      <c r="R210" s="217" t="str">
        <f ca="1">IF(ISERROR($V210),"",OFFSET('Smelter Look-up'!$C$4,$V210-4,0)&amp;"")</f>
        <v>Ganzhou Jiangwu Ferrotungsten Co., Ltd.</v>
      </c>
      <c r="S210" s="225" t="str">
        <f t="shared" ca="1" si="30"/>
        <v>CN</v>
      </c>
      <c r="T210" s="225" t="str">
        <f ca="1">IF(B210="","",IF(ISERROR(MATCH($J210,SorP!$B$1:$B$6230,0)),"",INDIRECT("'SorP'!$A$"&amp;MATCH($J210,SorP!$B$1:$B$6230,0))))</f>
        <v/>
      </c>
      <c r="U210" s="241"/>
      <c r="V210" s="275">
        <f>IF(C210="",NA(),MATCH($B210&amp;$C210,'Smelter Look-up'!$J:$J,0))</f>
        <v>509</v>
      </c>
      <c r="W210" s="276"/>
      <c r="X210" s="276">
        <f t="shared" si="31"/>
        <v>0</v>
      </c>
      <c r="Y210" s="276"/>
      <c r="Z210" s="276"/>
      <c r="AB210" s="278" t="str">
        <f t="shared" si="32"/>
        <v>TungstenGanzhou Jiangwu Ferrotungsten Co., Ltd.</v>
      </c>
    </row>
    <row r="211" spans="1:28" s="277" customFormat="1" ht="37.15">
      <c r="A211" s="216" t="s">
        <v>144</v>
      </c>
      <c r="B211" s="217" t="s">
        <v>1156</v>
      </c>
      <c r="C211" s="450" t="s">
        <v>155</v>
      </c>
      <c r="D211" s="217"/>
      <c r="E211" s="217" t="s">
        <v>1123</v>
      </c>
      <c r="F211" s="217" t="s">
        <v>144</v>
      </c>
      <c r="G211" s="217" t="s">
        <v>13577</v>
      </c>
      <c r="H211" s="451" t="s">
        <v>16269</v>
      </c>
      <c r="I211" s="452" t="s">
        <v>1812</v>
      </c>
      <c r="J211" s="452" t="s">
        <v>15601</v>
      </c>
      <c r="K211" s="453" t="s">
        <v>16270</v>
      </c>
      <c r="L211" s="453" t="s">
        <v>16271</v>
      </c>
      <c r="M211" s="453" t="s">
        <v>16272</v>
      </c>
      <c r="N211" s="453" t="s">
        <v>16273</v>
      </c>
      <c r="O211" s="453" t="s">
        <v>16274</v>
      </c>
      <c r="P211" s="454" t="s">
        <v>498</v>
      </c>
      <c r="Q211" s="455" t="s">
        <v>15513</v>
      </c>
      <c r="R211" s="217" t="str">
        <f ca="1">IF(ISERROR($V211),"",OFFSET('Smelter Look-up'!$C$4,$V211-4,0)&amp;"")</f>
        <v>Jiangxi Yaosheng Tungsten Co., Ltd.</v>
      </c>
      <c r="S211" s="225" t="str">
        <f t="shared" ca="1" si="30"/>
        <v>CN</v>
      </c>
      <c r="T211" s="225" t="str">
        <f ca="1">IF(B211="","",IF(ISERROR(MATCH($J211,SorP!$B$1:$B$6230,0)),"",INDIRECT("'SorP'!$A$"&amp;MATCH($J211,SorP!$B$1:$B$6230,0))))</f>
        <v/>
      </c>
      <c r="U211" s="241"/>
      <c r="V211" s="275">
        <f>IF(C211="",NA(),MATCH($B211&amp;$C211,'Smelter Look-up'!$J:$J,0))</f>
        <v>535</v>
      </c>
      <c r="W211" s="276"/>
      <c r="X211" s="276">
        <f t="shared" si="31"/>
        <v>0</v>
      </c>
      <c r="Y211" s="276"/>
      <c r="Z211" s="276"/>
      <c r="AB211" s="278" t="str">
        <f t="shared" si="32"/>
        <v>TungstenJiangxi Yaosheng Tungsten Co., Ltd.</v>
      </c>
    </row>
    <row r="212" spans="1:28" s="277" customFormat="1" ht="37.15">
      <c r="A212" s="216" t="s">
        <v>145</v>
      </c>
      <c r="B212" s="217" t="s">
        <v>1156</v>
      </c>
      <c r="C212" s="450" t="s">
        <v>156</v>
      </c>
      <c r="D212" s="217"/>
      <c r="E212" s="217" t="s">
        <v>1123</v>
      </c>
      <c r="F212" s="217" t="s">
        <v>145</v>
      </c>
      <c r="G212" s="217" t="s">
        <v>13577</v>
      </c>
      <c r="H212" s="451" t="s">
        <v>16275</v>
      </c>
      <c r="I212" s="452" t="s">
        <v>1812</v>
      </c>
      <c r="J212" s="452" t="s">
        <v>15601</v>
      </c>
      <c r="K212" s="453" t="s">
        <v>16276</v>
      </c>
      <c r="L212" s="453" t="s">
        <v>16277</v>
      </c>
      <c r="M212" s="453" t="s">
        <v>16278</v>
      </c>
      <c r="N212" s="453" t="s">
        <v>15542</v>
      </c>
      <c r="O212" s="453" t="s">
        <v>15909</v>
      </c>
      <c r="P212" s="454" t="s">
        <v>499</v>
      </c>
      <c r="Q212" s="455" t="s">
        <v>15513</v>
      </c>
      <c r="R212" s="217" t="str">
        <f ca="1">IF(ISERROR($V212),"",OFFSET('Smelter Look-up'!$C$4,$V212-4,0)&amp;"")</f>
        <v>Jiangxi Xinsheng Tungsten Industry Co., Ltd.</v>
      </c>
      <c r="S212" s="225" t="str">
        <f t="shared" ca="1" si="30"/>
        <v>CN</v>
      </c>
      <c r="T212" s="225" t="str">
        <f ca="1">IF(B212="","",IF(ISERROR(MATCH($J212,SorP!$B$1:$B$6230,0)),"",INDIRECT("'SorP'!$A$"&amp;MATCH($J212,SorP!$B$1:$B$6230,0))))</f>
        <v/>
      </c>
      <c r="U212" s="241"/>
      <c r="V212" s="275">
        <f>IF(C212="",NA(),MATCH($B212&amp;$C212,'Smelter Look-up'!$J:$J,0))</f>
        <v>534</v>
      </c>
      <c r="W212" s="276"/>
      <c r="X212" s="276">
        <f t="shared" si="31"/>
        <v>0</v>
      </c>
      <c r="Y212" s="276"/>
      <c r="Z212" s="276"/>
      <c r="AB212" s="278" t="str">
        <f t="shared" si="32"/>
        <v>TungstenJiangxi Xinsheng Tungsten Industry Co., Ltd.</v>
      </c>
    </row>
    <row r="213" spans="1:28" s="277" customFormat="1" ht="49.5">
      <c r="A213" s="216" t="s">
        <v>146</v>
      </c>
      <c r="B213" s="217" t="s">
        <v>1156</v>
      </c>
      <c r="C213" s="450" t="s">
        <v>157</v>
      </c>
      <c r="D213" s="217"/>
      <c r="E213" s="217" t="s">
        <v>1123</v>
      </c>
      <c r="F213" s="217" t="s">
        <v>146</v>
      </c>
      <c r="G213" s="217" t="s">
        <v>13577</v>
      </c>
      <c r="H213" s="451" t="s">
        <v>16279</v>
      </c>
      <c r="I213" s="452" t="s">
        <v>1880</v>
      </c>
      <c r="J213" s="452" t="s">
        <v>15601</v>
      </c>
      <c r="K213" s="453" t="s">
        <v>16276</v>
      </c>
      <c r="L213" s="453" t="s">
        <v>16277</v>
      </c>
      <c r="M213" s="453" t="s">
        <v>16280</v>
      </c>
      <c r="N213" s="453" t="s">
        <v>15511</v>
      </c>
      <c r="O213" s="453" t="s">
        <v>15807</v>
      </c>
      <c r="P213" s="454" t="s">
        <v>499</v>
      </c>
      <c r="Q213" s="455" t="s">
        <v>15513</v>
      </c>
      <c r="R213" s="217" t="str">
        <f ca="1">IF(ISERROR($V213),"",OFFSET('Smelter Look-up'!$C$4,$V213-4,0)&amp;"")</f>
        <v>Jiangxi Tonggu Non-ferrous Metallurgical &amp; Chemical Co., Ltd.</v>
      </c>
      <c r="S213" s="225" t="str">
        <f t="shared" ca="1" si="30"/>
        <v>CN</v>
      </c>
      <c r="T213" s="225" t="str">
        <f ca="1">IF(B213="","",IF(ISERROR(MATCH($J213,SorP!$B$1:$B$6230,0)),"",INDIRECT("'SorP'!$A$"&amp;MATCH($J213,SorP!$B$1:$B$6230,0))))</f>
        <v/>
      </c>
      <c r="U213" s="241"/>
      <c r="V213" s="275">
        <f>IF(C213="",NA(),MATCH($B213&amp;$C213,'Smelter Look-up'!$J:$J,0))</f>
        <v>530</v>
      </c>
      <c r="W213" s="276"/>
      <c r="X213" s="276">
        <f t="shared" si="31"/>
        <v>0</v>
      </c>
      <c r="Y213" s="276"/>
      <c r="Z213" s="276"/>
      <c r="AB213" s="278" t="str">
        <f t="shared" si="32"/>
        <v>TungstenJiangxi Tonggu Non-ferrous Metallurgical &amp; Chemical Co., Ltd.</v>
      </c>
    </row>
    <row r="214" spans="1:28" s="277" customFormat="1" ht="37.15">
      <c r="A214" s="216" t="s">
        <v>147</v>
      </c>
      <c r="B214" s="217" t="s">
        <v>1156</v>
      </c>
      <c r="C214" s="450" t="s">
        <v>158</v>
      </c>
      <c r="D214" s="217"/>
      <c r="E214" s="217" t="s">
        <v>1123</v>
      </c>
      <c r="F214" s="217" t="s">
        <v>147</v>
      </c>
      <c r="G214" s="217" t="s">
        <v>13577</v>
      </c>
      <c r="H214" s="451" t="s">
        <v>16281</v>
      </c>
      <c r="I214" s="452" t="s">
        <v>1881</v>
      </c>
      <c r="J214" s="452" t="s">
        <v>15578</v>
      </c>
      <c r="K214" s="453" t="s">
        <v>16221</v>
      </c>
      <c r="L214" s="453" t="s">
        <v>16222</v>
      </c>
      <c r="M214" s="453" t="s">
        <v>16282</v>
      </c>
      <c r="N214" s="453" t="s">
        <v>15511</v>
      </c>
      <c r="O214" s="453" t="s">
        <v>15807</v>
      </c>
      <c r="P214" s="454" t="s">
        <v>499</v>
      </c>
      <c r="Q214" s="455" t="s">
        <v>15513</v>
      </c>
      <c r="R214" s="217" t="str">
        <f ca="1">IF(ISERROR($V214),"",OFFSET('Smelter Look-up'!$C$4,$V214-4,0)&amp;"")</f>
        <v>Malipo Haiyu Tungsten Co., Ltd.</v>
      </c>
      <c r="S214" s="225" t="str">
        <f t="shared" ca="1" si="30"/>
        <v>CN</v>
      </c>
      <c r="T214" s="225" t="str">
        <f ca="1">IF(B214="","",IF(ISERROR(MATCH($J214,SorP!$B$1:$B$6230,0)),"",INDIRECT("'SorP'!$A$"&amp;MATCH($J214,SorP!$B$1:$B$6230,0))))</f>
        <v/>
      </c>
      <c r="U214" s="241"/>
      <c r="V214" s="275">
        <f>IF(C214="",NA(),MATCH($B214&amp;$C214,'Smelter Look-up'!$J:$J,0))</f>
        <v>541</v>
      </c>
      <c r="W214" s="276"/>
      <c r="X214" s="276">
        <f t="shared" si="31"/>
        <v>0</v>
      </c>
      <c r="Y214" s="276"/>
      <c r="Z214" s="276"/>
      <c r="AB214" s="278" t="str">
        <f t="shared" si="32"/>
        <v>TungstenMalipo Haiyu Tungsten Co., Ltd.</v>
      </c>
    </row>
    <row r="215" spans="1:28" s="277" customFormat="1" ht="61.9">
      <c r="A215" s="216" t="s">
        <v>148</v>
      </c>
      <c r="B215" s="217" t="s">
        <v>1156</v>
      </c>
      <c r="C215" s="450" t="s">
        <v>159</v>
      </c>
      <c r="D215" s="217"/>
      <c r="E215" s="217" t="s">
        <v>1123</v>
      </c>
      <c r="F215" s="217" t="s">
        <v>148</v>
      </c>
      <c r="G215" s="217" t="s">
        <v>13577</v>
      </c>
      <c r="H215" s="451" t="s">
        <v>16283</v>
      </c>
      <c r="I215" s="452" t="s">
        <v>1876</v>
      </c>
      <c r="J215" s="452" t="s">
        <v>15705</v>
      </c>
      <c r="K215" s="453" t="s">
        <v>16221</v>
      </c>
      <c r="L215" s="453" t="s">
        <v>16222</v>
      </c>
      <c r="M215" s="453" t="s">
        <v>16284</v>
      </c>
      <c r="N215" s="453" t="s">
        <v>16285</v>
      </c>
      <c r="O215" s="453" t="s">
        <v>16286</v>
      </c>
      <c r="P215" s="454" t="s">
        <v>499</v>
      </c>
      <c r="Q215" s="455" t="s">
        <v>15513</v>
      </c>
      <c r="R215" s="217" t="str">
        <f ca="1">IF(ISERROR($V215),"",OFFSET('Smelter Look-up'!$C$4,$V215-4,0)&amp;"")</f>
        <v>Xiamen Tungsten (H.C.) Co., Ltd.</v>
      </c>
      <c r="S215" s="225" t="str">
        <f t="shared" ca="1" si="30"/>
        <v>CN</v>
      </c>
      <c r="T215" s="225" t="str">
        <f ca="1">IF(B215="","",IF(ISERROR(MATCH($J215,SorP!$B$1:$B$6230,0)),"",INDIRECT("'SorP'!$A$"&amp;MATCH($J215,SorP!$B$1:$B$6230,0))))</f>
        <v/>
      </c>
      <c r="U215" s="241"/>
      <c r="V215" s="275">
        <f>IF(C215="",NA(),MATCH($B215&amp;$C215,'Smelter Look-up'!$J:$J,0))</f>
        <v>557</v>
      </c>
      <c r="W215" s="276"/>
      <c r="X215" s="276">
        <f t="shared" si="31"/>
        <v>0</v>
      </c>
      <c r="Y215" s="276"/>
      <c r="Z215" s="276"/>
      <c r="AB215" s="278" t="str">
        <f t="shared" si="32"/>
        <v>TungstenXiamen Tungsten (H.C.) Co., Ltd.</v>
      </c>
    </row>
    <row r="216" spans="1:28" s="277" customFormat="1" ht="24.75">
      <c r="A216" s="216" t="s">
        <v>141</v>
      </c>
      <c r="B216" s="217" t="s">
        <v>1156</v>
      </c>
      <c r="C216" s="450" t="s">
        <v>160</v>
      </c>
      <c r="D216" s="217"/>
      <c r="E216" s="217" t="s">
        <v>1123</v>
      </c>
      <c r="F216" s="217" t="s">
        <v>141</v>
      </c>
      <c r="G216" s="217" t="s">
        <v>13577</v>
      </c>
      <c r="H216" s="451" t="s">
        <v>16287</v>
      </c>
      <c r="I216" s="452" t="s">
        <v>1883</v>
      </c>
      <c r="J216" s="452" t="s">
        <v>15601</v>
      </c>
      <c r="K216" s="453" t="s">
        <v>16288</v>
      </c>
      <c r="L216" s="453" t="s">
        <v>16289</v>
      </c>
      <c r="M216" s="453" t="s">
        <v>16290</v>
      </c>
      <c r="N216" s="453" t="s">
        <v>15511</v>
      </c>
      <c r="O216" s="453" t="s">
        <v>15807</v>
      </c>
      <c r="P216" s="454" t="s">
        <v>499</v>
      </c>
      <c r="Q216" s="455" t="s">
        <v>15513</v>
      </c>
      <c r="R216" s="217" t="str">
        <f ca="1">IF(ISERROR($V216),"",OFFSET('Smelter Look-up'!$C$4,$V216-4,0)&amp;"")</f>
        <v>Jiangxi Gan Bei Tungsten Co., Ltd.</v>
      </c>
      <c r="S216" s="225" t="str">
        <f t="shared" ca="1" si="30"/>
        <v>CN</v>
      </c>
      <c r="T216" s="225" t="str">
        <f ca="1">IF(B216="","",IF(ISERROR(MATCH($J216,SorP!$B$1:$B$6230,0)),"",INDIRECT("'SorP'!$A$"&amp;MATCH($J216,SorP!$B$1:$B$6230,0))))</f>
        <v/>
      </c>
      <c r="U216" s="241"/>
      <c r="V216" s="275">
        <f>IF(C216="",NA(),MATCH($B216&amp;$C216,'Smelter Look-up'!$J:$J,0))</f>
        <v>528</v>
      </c>
      <c r="W216" s="276"/>
      <c r="X216" s="276">
        <f t="shared" si="31"/>
        <v>0</v>
      </c>
      <c r="Y216" s="276"/>
      <c r="Z216" s="276"/>
      <c r="AB216" s="278" t="str">
        <f t="shared" si="32"/>
        <v>TungstenJiangxi Gan Bei Tungsten Co., Ltd.</v>
      </c>
    </row>
    <row r="217" spans="1:28" s="277" customFormat="1" ht="37.15">
      <c r="A217" s="216" t="s">
        <v>16291</v>
      </c>
      <c r="B217" s="217" t="s">
        <v>1154</v>
      </c>
      <c r="C217" s="450" t="s">
        <v>16292</v>
      </c>
      <c r="D217" s="217"/>
      <c r="E217" s="217" t="s">
        <v>1128</v>
      </c>
      <c r="F217" s="217" t="s">
        <v>16291</v>
      </c>
      <c r="G217" s="217" t="s">
        <v>13577</v>
      </c>
      <c r="H217" s="451" t="s">
        <v>16293</v>
      </c>
      <c r="I217" s="452" t="s">
        <v>15651</v>
      </c>
      <c r="J217" s="452" t="s">
        <v>13183</v>
      </c>
      <c r="K217" s="453" t="s">
        <v>16294</v>
      </c>
      <c r="L217" s="453" t="s">
        <v>16295</v>
      </c>
      <c r="M217" s="453" t="s">
        <v>16235</v>
      </c>
      <c r="N217" s="453" t="s">
        <v>15511</v>
      </c>
      <c r="O217" s="453" t="s">
        <v>15807</v>
      </c>
      <c r="P217" s="454" t="s">
        <v>499</v>
      </c>
      <c r="Q217" s="455" t="s">
        <v>15513</v>
      </c>
      <c r="R217" s="217" t="str">
        <f ca="1">IF(ISERROR($V217),"",OFFSET('Smelter Look-up'!$C$4,$V217-4,0)&amp;"")</f>
        <v/>
      </c>
      <c r="S217" s="225" t="str">
        <f t="shared" ca="1" si="30"/>
        <v>ID</v>
      </c>
      <c r="T217" s="225" t="str">
        <f ca="1">IF(B217="","",IF(ISERROR(MATCH($J217,SorP!$B$1:$B$6230,0)),"",INDIRECT("'SorP'!$A$"&amp;MATCH($J217,SorP!$B$1:$B$6230,0))))</f>
        <v>ID-BB</v>
      </c>
      <c r="U217" s="241"/>
      <c r="V217" s="275" t="e">
        <f>IF(C217="",NA(),MATCH($B217&amp;$C217,'Smelter Look-up'!$J:$J,0))</f>
        <v>#N/A</v>
      </c>
      <c r="W217" s="276"/>
      <c r="X217" s="276">
        <f t="shared" si="31"/>
        <v>0</v>
      </c>
      <c r="Y217" s="276"/>
      <c r="Z217" s="276"/>
      <c r="AB217" s="278" t="str">
        <f t="shared" si="32"/>
        <v>TinCV Venus Inti Perkasa</v>
      </c>
    </row>
    <row r="218" spans="1:28" s="277" customFormat="1" ht="24.75">
      <c r="A218" s="216" t="s">
        <v>1728</v>
      </c>
      <c r="B218" s="217" t="s">
        <v>1153</v>
      </c>
      <c r="C218" s="450" t="s">
        <v>1727</v>
      </c>
      <c r="D218" s="217"/>
      <c r="E218" s="217" t="s">
        <v>2576</v>
      </c>
      <c r="F218" s="217" t="s">
        <v>1728</v>
      </c>
      <c r="G218" s="217" t="s">
        <v>13577</v>
      </c>
      <c r="H218" s="451" t="s">
        <v>16296</v>
      </c>
      <c r="I218" s="452" t="s">
        <v>1568</v>
      </c>
      <c r="J218" s="452" t="s">
        <v>1569</v>
      </c>
      <c r="K218" s="453" t="s">
        <v>16297</v>
      </c>
      <c r="L218" s="453" t="s">
        <v>16298</v>
      </c>
      <c r="M218" s="453" t="s">
        <v>16299</v>
      </c>
      <c r="N218" s="453" t="s">
        <v>15518</v>
      </c>
      <c r="O218" s="453" t="s">
        <v>15519</v>
      </c>
      <c r="P218" s="454" t="s">
        <v>498</v>
      </c>
      <c r="Q218" s="455" t="s">
        <v>15520</v>
      </c>
      <c r="R218" s="217" t="str">
        <f ca="1">IF(ISERROR($V218),"",OFFSET('Smelter Look-up'!$C$4,$V218-4,0)&amp;"")</f>
        <v>Geib Refining Corporation</v>
      </c>
      <c r="S218" s="225" t="str">
        <f t="shared" ca="1" si="30"/>
        <v>US</v>
      </c>
      <c r="T218" s="225" t="str">
        <f ca="1">IF(B218="","",IF(ISERROR(MATCH($J218,SorP!$B$1:$B$6230,0)),"",INDIRECT("'SorP'!$A$"&amp;MATCH($J218,SorP!$B$1:$B$6230,0))))</f>
        <v>US-RI</v>
      </c>
      <c r="U218" s="241"/>
      <c r="V218" s="275">
        <f>IF(C218="",NA(),MATCH($B218&amp;$C218,'Smelter Look-up'!$J:$J,0))</f>
        <v>80</v>
      </c>
      <c r="W218" s="276"/>
      <c r="X218" s="276">
        <f t="shared" si="31"/>
        <v>0</v>
      </c>
      <c r="Y218" s="276"/>
      <c r="Z218" s="276"/>
      <c r="AB218" s="278" t="str">
        <f t="shared" si="32"/>
        <v>GoldGeib Refining Corporation</v>
      </c>
    </row>
    <row r="219" spans="1:28" s="277" customFormat="1" ht="49.5">
      <c r="A219" s="216" t="s">
        <v>142</v>
      </c>
      <c r="B219" s="217" t="s">
        <v>1154</v>
      </c>
      <c r="C219" s="450" t="s">
        <v>2274</v>
      </c>
      <c r="D219" s="217"/>
      <c r="E219" s="217" t="s">
        <v>1119</v>
      </c>
      <c r="F219" s="217" t="s">
        <v>142</v>
      </c>
      <c r="G219" s="217" t="s">
        <v>13577</v>
      </c>
      <c r="H219" s="451" t="s">
        <v>16300</v>
      </c>
      <c r="I219" s="452" t="s">
        <v>1757</v>
      </c>
      <c r="J219" s="452" t="s">
        <v>1577</v>
      </c>
      <c r="K219" s="453" t="s">
        <v>16301</v>
      </c>
      <c r="L219" s="453" t="s">
        <v>16302</v>
      </c>
      <c r="M219" s="453" t="s">
        <v>16303</v>
      </c>
      <c r="N219" s="453" t="s">
        <v>15511</v>
      </c>
      <c r="O219" s="453" t="s">
        <v>15909</v>
      </c>
      <c r="P219" s="454" t="s">
        <v>499</v>
      </c>
      <c r="Q219" s="455" t="s">
        <v>15513</v>
      </c>
      <c r="R219" s="217" t="str">
        <f ca="1">IF(ISERROR($V219),"",OFFSET('Smelter Look-up'!$C$4,$V219-4,0)&amp;"")</f>
        <v>Magnu's Minerais Metais e Ligas Ltda.</v>
      </c>
      <c r="S219" s="225" t="str">
        <f t="shared" ca="1" si="30"/>
        <v>BR</v>
      </c>
      <c r="T219" s="225" t="str">
        <f ca="1">IF(B219="","",IF(ISERROR(MATCH($J219,SorP!$B$1:$B$6230,0)),"",INDIRECT("'SorP'!$A$"&amp;MATCH($J219,SorP!$B$1:$B$6230,0))))</f>
        <v>BR-MG</v>
      </c>
      <c r="U219" s="241"/>
      <c r="V219" s="275">
        <f>IF(C219="",NA(),MATCH($B219&amp;$C219,'Smelter Look-up'!$J:$J,0))</f>
        <v>413</v>
      </c>
      <c r="W219" s="276"/>
      <c r="X219" s="276">
        <f t="shared" si="31"/>
        <v>0</v>
      </c>
      <c r="Y219" s="276"/>
      <c r="Z219" s="276"/>
      <c r="AB219" s="278" t="str">
        <f t="shared" si="32"/>
        <v>TinMagnu's Minerais Metais e Ligas Ltda.</v>
      </c>
    </row>
    <row r="220" spans="1:28" s="277" customFormat="1" ht="37.15">
      <c r="A220" s="216" t="s">
        <v>406</v>
      </c>
      <c r="B220" s="217" t="s">
        <v>1155</v>
      </c>
      <c r="C220" s="450" t="s">
        <v>4</v>
      </c>
      <c r="D220" s="217"/>
      <c r="E220" s="217" t="s">
        <v>1123</v>
      </c>
      <c r="F220" s="217" t="s">
        <v>406</v>
      </c>
      <c r="G220" s="217" t="s">
        <v>13577</v>
      </c>
      <c r="H220" s="451" t="s">
        <v>16304</v>
      </c>
      <c r="I220" s="452" t="s">
        <v>1777</v>
      </c>
      <c r="J220" s="452" t="s">
        <v>15580</v>
      </c>
      <c r="K220" s="453" t="s">
        <v>16305</v>
      </c>
      <c r="L220" s="453" t="s">
        <v>16306</v>
      </c>
      <c r="M220" s="453" t="s">
        <v>16307</v>
      </c>
      <c r="N220" s="453" t="s">
        <v>15511</v>
      </c>
      <c r="O220" s="453" t="s">
        <v>15807</v>
      </c>
      <c r="P220" s="454" t="s">
        <v>499</v>
      </c>
      <c r="Q220" s="455" t="s">
        <v>15513</v>
      </c>
      <c r="R220" s="217" t="str">
        <f ca="1">IF(ISERROR($V220),"",OFFSET('Smelter Look-up'!$C$4,$V220-4,0)&amp;"")</f>
        <v>Hengyang King Xing Lifeng New Materials Co., Ltd.</v>
      </c>
      <c r="S220" s="225" t="str">
        <f t="shared" ca="1" si="30"/>
        <v>CN</v>
      </c>
      <c r="T220" s="225" t="str">
        <f ca="1">IF(B220="","",IF(ISERROR(MATCH($J220,SorP!$B$1:$B$6230,0)),"",INDIRECT("'SorP'!$A$"&amp;MATCH($J220,SorP!$B$1:$B$6230,0))))</f>
        <v/>
      </c>
      <c r="U220" s="241"/>
      <c r="V220" s="275">
        <f>IF(C220="",NA(),MATCH($B220&amp;$C220,'Smelter Look-up'!$J:$J,0))</f>
        <v>313</v>
      </c>
      <c r="W220" s="276"/>
      <c r="X220" s="276">
        <f t="shared" si="31"/>
        <v>0</v>
      </c>
      <c r="Y220" s="276"/>
      <c r="Z220" s="276"/>
      <c r="AB220" s="278" t="str">
        <f t="shared" si="32"/>
        <v>TantalumHengyang King Xing Lifeng New Materials Co., Ltd.</v>
      </c>
    </row>
    <row r="221" spans="1:28" s="277" customFormat="1" ht="61.9">
      <c r="A221" s="216" t="s">
        <v>403</v>
      </c>
      <c r="B221" s="217" t="s">
        <v>1156</v>
      </c>
      <c r="C221" s="450" t="s">
        <v>402</v>
      </c>
      <c r="D221" s="217"/>
      <c r="E221" s="217" t="s">
        <v>1123</v>
      </c>
      <c r="F221" s="217" t="s">
        <v>403</v>
      </c>
      <c r="G221" s="217" t="s">
        <v>13577</v>
      </c>
      <c r="H221" s="451" t="s">
        <v>16308</v>
      </c>
      <c r="I221" s="452" t="s">
        <v>1812</v>
      </c>
      <c r="J221" s="452" t="s">
        <v>15601</v>
      </c>
      <c r="K221" s="453" t="s">
        <v>16309</v>
      </c>
      <c r="L221" s="453" t="s">
        <v>16310</v>
      </c>
      <c r="M221" s="453" t="s">
        <v>16311</v>
      </c>
      <c r="N221" s="453" t="s">
        <v>16312</v>
      </c>
      <c r="O221" s="453" t="s">
        <v>15609</v>
      </c>
      <c r="P221" s="454" t="s">
        <v>499</v>
      </c>
      <c r="Q221" s="455" t="s">
        <v>15513</v>
      </c>
      <c r="R221" s="217" t="str">
        <f ca="1">IF(ISERROR($V221),"",OFFSET('Smelter Look-up'!$C$4,$V221-4,0)&amp;"")</f>
        <v>Ganzhou Seadragon W &amp; Mo Co., Ltd.</v>
      </c>
      <c r="S221" s="225" t="str">
        <f t="shared" ca="1" si="30"/>
        <v>CN</v>
      </c>
      <c r="T221" s="225" t="str">
        <f ca="1">IF(B221="","",IF(ISERROR(MATCH($J221,SorP!$B$1:$B$6230,0)),"",INDIRECT("'SorP'!$A$"&amp;MATCH($J221,SorP!$B$1:$B$6230,0))))</f>
        <v/>
      </c>
      <c r="U221" s="241"/>
      <c r="V221" s="275">
        <f>IF(C221="",NA(),MATCH($B221&amp;$C221,'Smelter Look-up'!$J:$J,0))</f>
        <v>510</v>
      </c>
      <c r="W221" s="276"/>
      <c r="X221" s="276">
        <f t="shared" si="31"/>
        <v>0</v>
      </c>
      <c r="Y221" s="276"/>
      <c r="Z221" s="276"/>
      <c r="AB221" s="278" t="str">
        <f t="shared" si="32"/>
        <v>TungstenGanzhou Seadragon W &amp; Mo Co., Ltd.</v>
      </c>
    </row>
    <row r="222" spans="1:28" s="277" customFormat="1" ht="37.15">
      <c r="A222" s="216" t="s">
        <v>1349</v>
      </c>
      <c r="B222" s="217" t="s">
        <v>1154</v>
      </c>
      <c r="C222" s="450" t="s">
        <v>2468</v>
      </c>
      <c r="D222" s="217"/>
      <c r="E222" s="217" t="s">
        <v>1119</v>
      </c>
      <c r="F222" s="217" t="s">
        <v>1349</v>
      </c>
      <c r="G222" s="217" t="s">
        <v>13577</v>
      </c>
      <c r="H222" s="451" t="s">
        <v>16313</v>
      </c>
      <c r="I222" s="452" t="s">
        <v>1804</v>
      </c>
      <c r="J222" s="452" t="s">
        <v>1808</v>
      </c>
      <c r="K222" s="453" t="s">
        <v>16314</v>
      </c>
      <c r="L222" s="453" t="s">
        <v>16315</v>
      </c>
      <c r="M222" s="453" t="s">
        <v>15787</v>
      </c>
      <c r="N222" s="453" t="s">
        <v>16316</v>
      </c>
      <c r="O222" s="453" t="s">
        <v>15807</v>
      </c>
      <c r="P222" s="454" t="s">
        <v>499</v>
      </c>
      <c r="Q222" s="455" t="s">
        <v>15513</v>
      </c>
      <c r="R222" s="217" t="str">
        <f ca="1">IF(ISERROR($V222),"",OFFSET('Smelter Look-up'!$C$4,$V222-4,0)&amp;"")</f>
        <v>Melt Metais e Ligas S.A.</v>
      </c>
      <c r="S222" s="225" t="str">
        <f t="shared" ca="1" si="30"/>
        <v>BR</v>
      </c>
      <c r="T222" s="225" t="str">
        <f ca="1">IF(B222="","",IF(ISERROR(MATCH($J222,SorP!$B$1:$B$6230,0)),"",INDIRECT("'SorP'!$A$"&amp;MATCH($J222,SorP!$B$1:$B$6230,0))))</f>
        <v>BR-RO</v>
      </c>
      <c r="U222" s="241"/>
      <c r="V222" s="275">
        <f>IF(C222="",NA(),MATCH($B222&amp;$C222,'Smelter Look-up'!$J:$J,0))</f>
        <v>415</v>
      </c>
      <c r="W222" s="276"/>
      <c r="X222" s="276">
        <f t="shared" si="31"/>
        <v>0</v>
      </c>
      <c r="Y222" s="276"/>
      <c r="Z222" s="276"/>
      <c r="AB222" s="278" t="str">
        <f t="shared" si="32"/>
        <v>TinMelt Metais e Ligas S.A.</v>
      </c>
    </row>
    <row r="223" spans="1:28" s="277" customFormat="1" ht="37.15">
      <c r="A223" s="216" t="s">
        <v>14242</v>
      </c>
      <c r="B223" s="217" t="s">
        <v>1156</v>
      </c>
      <c r="C223" s="450" t="s">
        <v>14226</v>
      </c>
      <c r="D223" s="217"/>
      <c r="E223" s="217" t="s">
        <v>915</v>
      </c>
      <c r="F223" s="217" t="s">
        <v>14242</v>
      </c>
      <c r="G223" s="217" t="s">
        <v>13577</v>
      </c>
      <c r="H223" s="451" t="s">
        <v>16317</v>
      </c>
      <c r="I223" s="452" t="s">
        <v>14254</v>
      </c>
      <c r="J223" s="452" t="s">
        <v>1884</v>
      </c>
      <c r="K223" s="453" t="s">
        <v>16318</v>
      </c>
      <c r="L223" s="453" t="s">
        <v>16319</v>
      </c>
      <c r="M223" s="453" t="s">
        <v>16320</v>
      </c>
      <c r="N223" s="453" t="s">
        <v>15511</v>
      </c>
      <c r="O223" s="453" t="s">
        <v>16321</v>
      </c>
      <c r="P223" s="454" t="s">
        <v>499</v>
      </c>
      <c r="Q223" s="455" t="s">
        <v>15513</v>
      </c>
      <c r="R223" s="217" t="str">
        <f ca="1">IF(ISERROR($V223),"",OFFSET('Smelter Look-up'!$C$4,$V223-4,0)&amp;"")</f>
        <v>Asia Tungsten Products Vietnam Ltd.</v>
      </c>
      <c r="S223" s="225" t="str">
        <f t="shared" ca="1" si="30"/>
        <v>VN</v>
      </c>
      <c r="T223" s="225" t="str">
        <f ca="1">IF(B223="","",IF(ISERROR(MATCH($J223,SorP!$B$1:$B$6230,0)),"",INDIRECT("'SorP'!$A$"&amp;MATCH($J223,SorP!$B$1:$B$6230,0))))</f>
        <v>VN-HP</v>
      </c>
      <c r="U223" s="241"/>
      <c r="V223" s="275">
        <f>IF(C223="",NA(),MATCH($B223&amp;$C223,'Smelter Look-up'!$J:$J,0))</f>
        <v>493</v>
      </c>
      <c r="W223" s="276"/>
      <c r="X223" s="276">
        <f t="shared" si="31"/>
        <v>0</v>
      </c>
      <c r="Y223" s="276"/>
      <c r="Z223" s="276"/>
      <c r="AB223" s="278" t="str">
        <f t="shared" si="32"/>
        <v>TungstenAsia Tungsten Products Vietnam Ltd.</v>
      </c>
    </row>
    <row r="224" spans="1:28" s="277" customFormat="1" ht="49.5">
      <c r="A224" s="216" t="s">
        <v>1427</v>
      </c>
      <c r="B224" s="217" t="s">
        <v>1154</v>
      </c>
      <c r="C224" s="450" t="s">
        <v>1426</v>
      </c>
      <c r="D224" s="217"/>
      <c r="E224" s="217" t="s">
        <v>1128</v>
      </c>
      <c r="F224" s="217" t="s">
        <v>1427</v>
      </c>
      <c r="G224" s="217" t="s">
        <v>13577</v>
      </c>
      <c r="H224" s="451" t="s">
        <v>16322</v>
      </c>
      <c r="I224" s="452" t="s">
        <v>1805</v>
      </c>
      <c r="J224" s="452" t="s">
        <v>13183</v>
      </c>
      <c r="K224" s="453" t="s">
        <v>16323</v>
      </c>
      <c r="L224" s="453" t="s">
        <v>16324</v>
      </c>
      <c r="M224" s="453" t="s">
        <v>16325</v>
      </c>
      <c r="N224" s="453" t="s">
        <v>15511</v>
      </c>
      <c r="O224" s="453" t="s">
        <v>15807</v>
      </c>
      <c r="P224" s="454" t="s">
        <v>499</v>
      </c>
      <c r="Q224" s="455" t="s">
        <v>15513</v>
      </c>
      <c r="R224" s="217" t="str">
        <f ca="1">IF(ISERROR($V224),"",OFFSET('Smelter Look-up'!$C$4,$V224-4,0)&amp;"")</f>
        <v>PT ATD Makmur Mandiri Jaya</v>
      </c>
      <c r="S224" s="225" t="str">
        <f t="shared" ca="1" si="30"/>
        <v>ID</v>
      </c>
      <c r="T224" s="225" t="str">
        <f ca="1">IF(B224="","",IF(ISERROR(MATCH($J224,SorP!$B$1:$B$6230,0)),"",INDIRECT("'SorP'!$A$"&amp;MATCH($J224,SorP!$B$1:$B$6230,0))))</f>
        <v>ID-BB</v>
      </c>
      <c r="U224" s="241"/>
      <c r="V224" s="275">
        <f>IF(C224="",NA(),MATCH($B224&amp;$C224,'Smelter Look-up'!$J:$J,0))</f>
        <v>439</v>
      </c>
      <c r="W224" s="276"/>
      <c r="X224" s="276">
        <f t="shared" si="31"/>
        <v>0</v>
      </c>
      <c r="Y224" s="276"/>
      <c r="Z224" s="276"/>
      <c r="AB224" s="278" t="str">
        <f t="shared" si="32"/>
        <v>TinPT ATD Makmur Mandiri Jaya</v>
      </c>
    </row>
    <row r="225" spans="1:28" s="277" customFormat="1" ht="24.75">
      <c r="A225" s="216" t="s">
        <v>1419</v>
      </c>
      <c r="B225" s="217" t="s">
        <v>1155</v>
      </c>
      <c r="C225" s="450" t="s">
        <v>1418</v>
      </c>
      <c r="D225" s="217"/>
      <c r="E225" s="217" t="s">
        <v>2576</v>
      </c>
      <c r="F225" s="217" t="s">
        <v>1419</v>
      </c>
      <c r="G225" s="217" t="s">
        <v>13577</v>
      </c>
      <c r="H225" s="451" t="s">
        <v>16326</v>
      </c>
      <c r="I225" s="452" t="s">
        <v>1778</v>
      </c>
      <c r="J225" s="452" t="s">
        <v>1779</v>
      </c>
      <c r="K225" s="453" t="s">
        <v>16327</v>
      </c>
      <c r="L225" s="453" t="s">
        <v>16328</v>
      </c>
      <c r="M225" s="453" t="s">
        <v>16280</v>
      </c>
      <c r="N225" s="453" t="s">
        <v>15542</v>
      </c>
      <c r="O225" s="453" t="s">
        <v>15909</v>
      </c>
      <c r="P225" s="454" t="s">
        <v>499</v>
      </c>
      <c r="Q225" s="455" t="s">
        <v>15513</v>
      </c>
      <c r="R225" s="217" t="str">
        <f ca="1">IF(ISERROR($V225),"",OFFSET('Smelter Look-up'!$C$4,$V225-4,0)&amp;"")</f>
        <v>D Block Metals, LLC</v>
      </c>
      <c r="S225" s="225" t="str">
        <f t="shared" ca="1" si="30"/>
        <v>US</v>
      </c>
      <c r="T225" s="225" t="str">
        <f ca="1">IF(B225="","",IF(ISERROR(MATCH($J225,SorP!$B$1:$B$6230,0)),"",INDIRECT("'SorP'!$A$"&amp;MATCH($J225,SorP!$B$1:$B$6230,0))))</f>
        <v>US-NC</v>
      </c>
      <c r="U225" s="241"/>
      <c r="V225" s="275">
        <f>IF(C225="",NA(),MATCH($B225&amp;$C225,'Smelter Look-up'!$J:$J,0))</f>
        <v>299</v>
      </c>
      <c r="W225" s="276"/>
      <c r="X225" s="276">
        <f t="shared" si="31"/>
        <v>0</v>
      </c>
      <c r="Y225" s="276"/>
      <c r="Z225" s="276"/>
      <c r="AB225" s="278" t="str">
        <f t="shared" si="32"/>
        <v>TantalumD Block Metals, LLC</v>
      </c>
    </row>
    <row r="226" spans="1:28" s="277" customFormat="1" ht="74.25">
      <c r="A226" s="216" t="s">
        <v>1420</v>
      </c>
      <c r="B226" s="217" t="s">
        <v>1155</v>
      </c>
      <c r="C226" s="450" t="s">
        <v>2275</v>
      </c>
      <c r="D226" s="217"/>
      <c r="E226" s="217" t="s">
        <v>1123</v>
      </c>
      <c r="F226" s="217" t="s">
        <v>1420</v>
      </c>
      <c r="G226" s="217" t="s">
        <v>13577</v>
      </c>
      <c r="H226" s="451" t="s">
        <v>16329</v>
      </c>
      <c r="I226" s="452" t="s">
        <v>1769</v>
      </c>
      <c r="J226" s="452" t="s">
        <v>15580</v>
      </c>
      <c r="K226" s="453" t="s">
        <v>16330</v>
      </c>
      <c r="L226" s="453" t="s">
        <v>16331</v>
      </c>
      <c r="M226" s="453" t="s">
        <v>16332</v>
      </c>
      <c r="N226" s="453" t="s">
        <v>15542</v>
      </c>
      <c r="O226" s="453" t="s">
        <v>15909</v>
      </c>
      <c r="P226" s="454" t="s">
        <v>499</v>
      </c>
      <c r="Q226" s="455" t="s">
        <v>15513</v>
      </c>
      <c r="R226" s="217" t="str">
        <f ca="1">IF(ISERROR($V226),"",OFFSET('Smelter Look-up'!$C$4,$V226-4,0)&amp;"")</f>
        <v>FIR Metals &amp; Resource Ltd.</v>
      </c>
      <c r="S226" s="225" t="str">
        <f t="shared" ca="1" si="30"/>
        <v>CN</v>
      </c>
      <c r="T226" s="225" t="str">
        <f ca="1">IF(B226="","",IF(ISERROR(MATCH($J226,SorP!$B$1:$B$6230,0)),"",INDIRECT("'SorP'!$A$"&amp;MATCH($J226,SorP!$B$1:$B$6230,0))))</f>
        <v/>
      </c>
      <c r="U226" s="241"/>
      <c r="V226" s="275">
        <f>IF(C226="",NA(),MATCH($B226&amp;$C226,'Smelter Look-up'!$J:$J,0))</f>
        <v>303</v>
      </c>
      <c r="W226" s="276"/>
      <c r="X226" s="276">
        <f t="shared" si="31"/>
        <v>0</v>
      </c>
      <c r="Y226" s="276"/>
      <c r="Z226" s="276"/>
      <c r="AB226" s="278" t="str">
        <f t="shared" si="32"/>
        <v>TantalumFIR Metals &amp; Resource Ltd.</v>
      </c>
    </row>
    <row r="227" spans="1:28" s="277" customFormat="1" ht="24.75">
      <c r="A227" s="216" t="s">
        <v>1422</v>
      </c>
      <c r="B227" s="217" t="s">
        <v>1155</v>
      </c>
      <c r="C227" s="450" t="s">
        <v>2276</v>
      </c>
      <c r="D227" s="217"/>
      <c r="E227" s="217" t="s">
        <v>1123</v>
      </c>
      <c r="F227" s="217" t="s">
        <v>1422</v>
      </c>
      <c r="G227" s="217" t="s">
        <v>13577</v>
      </c>
      <c r="H227" s="451" t="s">
        <v>16333</v>
      </c>
      <c r="I227" s="452" t="s">
        <v>1756</v>
      </c>
      <c r="J227" s="452" t="s">
        <v>15601</v>
      </c>
      <c r="K227" s="453" t="s">
        <v>16334</v>
      </c>
      <c r="L227" s="453" t="s">
        <v>16335</v>
      </c>
      <c r="M227" s="453" t="s">
        <v>15554</v>
      </c>
      <c r="N227" s="453" t="s">
        <v>15511</v>
      </c>
      <c r="O227" s="453" t="s">
        <v>15807</v>
      </c>
      <c r="P227" s="454" t="s">
        <v>499</v>
      </c>
      <c r="Q227" s="455" t="s">
        <v>15520</v>
      </c>
      <c r="R227" s="217" t="str">
        <f ca="1">IF(ISERROR($V227),"",OFFSET('Smelter Look-up'!$C$4,$V227-4,0)&amp;"")</f>
        <v>Jiujiang Zhongao Tantalum &amp; Niobium Co., Ltd.</v>
      </c>
      <c r="S227" s="225" t="str">
        <f t="shared" ca="1" si="30"/>
        <v>CN</v>
      </c>
      <c r="T227" s="225" t="str">
        <f ca="1">IF(B227="","",IF(ISERROR(MATCH($J227,SorP!$B$1:$B$6230,0)),"",INDIRECT("'SorP'!$A$"&amp;MATCH($J227,SorP!$B$1:$B$6230,0))))</f>
        <v/>
      </c>
      <c r="U227" s="241"/>
      <c r="V227" s="275">
        <f>IF(C227="",NA(),MATCH($B227&amp;$C227,'Smelter Look-up'!$J:$J,0))</f>
        <v>319</v>
      </c>
      <c r="W227" s="276"/>
      <c r="X227" s="276">
        <f t="shared" si="31"/>
        <v>0</v>
      </c>
      <c r="Y227" s="276"/>
      <c r="Z227" s="276"/>
      <c r="AB227" s="278" t="str">
        <f t="shared" si="32"/>
        <v>TantalumJiujiang Zhongao Tantalum &amp; Niobium Co., Ltd.</v>
      </c>
    </row>
    <row r="228" spans="1:28" s="277" customFormat="1" ht="37.15">
      <c r="A228" s="216" t="s">
        <v>1423</v>
      </c>
      <c r="B228" s="217" t="s">
        <v>1155</v>
      </c>
      <c r="C228" s="450" t="s">
        <v>2277</v>
      </c>
      <c r="D228" s="217"/>
      <c r="E228" s="217" t="s">
        <v>1123</v>
      </c>
      <c r="F228" s="217" t="s">
        <v>1423</v>
      </c>
      <c r="G228" s="217" t="s">
        <v>13577</v>
      </c>
      <c r="H228" s="451" t="s">
        <v>16336</v>
      </c>
      <c r="I228" s="452" t="s">
        <v>1780</v>
      </c>
      <c r="J228" s="452" t="s">
        <v>15584</v>
      </c>
      <c r="K228" s="453" t="s">
        <v>16337</v>
      </c>
      <c r="L228" s="453" t="s">
        <v>16338</v>
      </c>
      <c r="M228" s="453" t="s">
        <v>16339</v>
      </c>
      <c r="N228" s="453" t="s">
        <v>15511</v>
      </c>
      <c r="O228" s="453" t="s">
        <v>15807</v>
      </c>
      <c r="P228" s="454" t="s">
        <v>499</v>
      </c>
      <c r="Q228" s="455" t="s">
        <v>15520</v>
      </c>
      <c r="R228" s="217" t="str">
        <f ca="1">IF(ISERROR($V228),"",OFFSET('Smelter Look-up'!$C$4,$V228-4,0)&amp;"")</f>
        <v>XinXing HaoRong Electronic Material Co., Ltd.</v>
      </c>
      <c r="S228" s="225" t="str">
        <f t="shared" ca="1" si="30"/>
        <v>CN</v>
      </c>
      <c r="T228" s="225" t="str">
        <f ca="1">IF(B228="","",IF(ISERROR(MATCH($J228,SorP!$B$1:$B$6230,0)),"",INDIRECT("'SorP'!$A$"&amp;MATCH($J228,SorP!$B$1:$B$6230,0))))</f>
        <v/>
      </c>
      <c r="U228" s="241"/>
      <c r="V228" s="275">
        <f>IF(C228="",NA(),MATCH($B228&amp;$C228,'Smelter Look-up'!$J:$J,0))</f>
        <v>350</v>
      </c>
      <c r="W228" s="276"/>
      <c r="X228" s="276">
        <f t="shared" si="31"/>
        <v>0</v>
      </c>
      <c r="Y228" s="276"/>
      <c r="Z228" s="276"/>
      <c r="AB228" s="278" t="str">
        <f t="shared" si="32"/>
        <v>TantalumXinXing HaoRong Electronic Material Co., Ltd.</v>
      </c>
    </row>
    <row r="229" spans="1:28" s="277" customFormat="1" ht="24.75">
      <c r="A229" s="216" t="s">
        <v>1414</v>
      </c>
      <c r="B229" s="217" t="s">
        <v>1153</v>
      </c>
      <c r="C229" s="450" t="s">
        <v>2278</v>
      </c>
      <c r="D229" s="217"/>
      <c r="E229" s="217" t="s">
        <v>1129</v>
      </c>
      <c r="F229" s="217" t="s">
        <v>1414</v>
      </c>
      <c r="G229" s="217" t="s">
        <v>13577</v>
      </c>
      <c r="H229" s="451" t="s">
        <v>16340</v>
      </c>
      <c r="I229" s="452" t="s">
        <v>1729</v>
      </c>
      <c r="J229" s="452" t="s">
        <v>1730</v>
      </c>
      <c r="K229" s="453" t="s">
        <v>16341</v>
      </c>
      <c r="L229" s="453" t="s">
        <v>16342</v>
      </c>
      <c r="M229" s="453" t="s">
        <v>16343</v>
      </c>
      <c r="N229" s="453" t="s">
        <v>15511</v>
      </c>
      <c r="O229" s="453" t="s">
        <v>15533</v>
      </c>
      <c r="P229" s="454"/>
      <c r="Q229" s="455" t="s">
        <v>15520</v>
      </c>
      <c r="R229" s="217" t="str">
        <f ca="1">IF(ISERROR($V229),"",OFFSET('Smelter Look-up'!$C$4,$V229-4,0)&amp;"")</f>
        <v>MMTC-PAMP India Pvt., Ltd.</v>
      </c>
      <c r="S229" s="225" t="str">
        <f t="shared" ca="1" si="30"/>
        <v>IN</v>
      </c>
      <c r="T229" s="225" t="str">
        <f ca="1">IF(B229="","",IF(ISERROR(MATCH($J229,SorP!$B$1:$B$6230,0)),"",INDIRECT("'SorP'!$A$"&amp;MATCH($J229,SorP!$B$1:$B$6230,0))))</f>
        <v>IN-HR</v>
      </c>
      <c r="U229" s="241"/>
      <c r="V229" s="275">
        <f>IF(C229="",NA(),MATCH($B229&amp;$C229,'Smelter Look-up'!$J:$J,0))</f>
        <v>167</v>
      </c>
      <c r="W229" s="276"/>
      <c r="X229" s="276">
        <f t="shared" si="31"/>
        <v>0</v>
      </c>
      <c r="Y229" s="276"/>
      <c r="Z229" s="276"/>
      <c r="AB229" s="278" t="str">
        <f t="shared" si="32"/>
        <v>GoldMMTC-PAMP India Pvt., Ltd.</v>
      </c>
    </row>
    <row r="230" spans="1:28" s="277" customFormat="1" ht="24.75">
      <c r="A230" s="216" t="s">
        <v>16344</v>
      </c>
      <c r="B230" s="217" t="s">
        <v>1153</v>
      </c>
      <c r="C230" s="450" t="s">
        <v>16345</v>
      </c>
      <c r="D230" s="217"/>
      <c r="E230" s="217" t="s">
        <v>2576</v>
      </c>
      <c r="F230" s="217" t="s">
        <v>16344</v>
      </c>
      <c r="G230" s="217" t="s">
        <v>13577</v>
      </c>
      <c r="H230" s="451" t="s">
        <v>16346</v>
      </c>
      <c r="I230" s="452" t="s">
        <v>16347</v>
      </c>
      <c r="J230" s="452" t="s">
        <v>1731</v>
      </c>
      <c r="K230" s="453" t="s">
        <v>16348</v>
      </c>
      <c r="L230" s="453" t="s">
        <v>16349</v>
      </c>
      <c r="M230" s="453" t="s">
        <v>16350</v>
      </c>
      <c r="N230" s="453" t="s">
        <v>15511</v>
      </c>
      <c r="O230" s="453" t="s">
        <v>15533</v>
      </c>
      <c r="P230" s="454"/>
      <c r="Q230" s="455" t="s">
        <v>15513</v>
      </c>
      <c r="R230" s="217" t="str">
        <f ca="1">IF(ISERROR($V230),"",OFFSET('Smelter Look-up'!$C$4,$V230-4,0)&amp;"")</f>
        <v/>
      </c>
      <c r="S230" s="225" t="str">
        <f t="shared" ref="S230:S260" ca="1" si="33">IF(B230="","",IF(ISERROR(MATCH($E230,CL,0)),"Unknown",INDIRECT("'C'!$A$"&amp;MATCH($E230,CL,0)+1)))</f>
        <v>US</v>
      </c>
      <c r="T230" s="225" t="str">
        <f ca="1">IF(B230="","",IF(ISERROR(MATCH($J230,SorP!$B$1:$B$6230,0)),"",INDIRECT("'SorP'!$A$"&amp;MATCH($J230,SorP!$B$1:$B$6230,0))))</f>
        <v>US-FL</v>
      </c>
      <c r="U230" s="241"/>
      <c r="V230" s="275" t="e">
        <f>IF(C230="",NA(),MATCH($B230&amp;$C230,'Smelter Look-up'!$J:$J,0))</f>
        <v>#N/A</v>
      </c>
      <c r="W230" s="276"/>
      <c r="X230" s="276">
        <f t="shared" ref="X230:X260" si="34">IF(AND(C230="Smelter not listed",OR(LEN(D230)=0,LEN(E230)=0)),1,0)</f>
        <v>0</v>
      </c>
      <c r="Y230" s="276"/>
      <c r="Z230" s="276"/>
      <c r="AB230" s="278" t="str">
        <f t="shared" ref="AB230:AB260" si="35">B230&amp;C230</f>
        <v>GoldRepublic Metals Corporation</v>
      </c>
    </row>
    <row r="231" spans="1:28" s="277" customFormat="1" ht="20.25">
      <c r="A231" s="472" t="s">
        <v>1412</v>
      </c>
      <c r="B231" s="217" t="s">
        <v>1153</v>
      </c>
      <c r="C231" s="450" t="s">
        <v>13033</v>
      </c>
      <c r="D231" s="217"/>
      <c r="E231" s="217" t="s">
        <v>905</v>
      </c>
      <c r="F231" s="217" t="s">
        <v>1412</v>
      </c>
      <c r="G231" s="217" t="s">
        <v>13577</v>
      </c>
      <c r="H231" s="451">
        <v>0</v>
      </c>
      <c r="I231" s="452" t="s">
        <v>1732</v>
      </c>
      <c r="J231" s="452" t="s">
        <v>9819</v>
      </c>
      <c r="K231" s="453"/>
      <c r="L231" s="453"/>
      <c r="M231" s="453"/>
      <c r="N231" s="453"/>
      <c r="O231" s="453"/>
      <c r="P231" s="454"/>
      <c r="Q231" s="455"/>
      <c r="R231" s="217" t="str">
        <f ca="1">IF(ISERROR($V231),"",OFFSET('Smelter Look-up'!$C$4,$V231-4,0)&amp;"")</f>
        <v>KGHM Polska Miedz Spolka Akcyjna</v>
      </c>
      <c r="S231" s="225" t="str">
        <f t="shared" ca="1" si="33"/>
        <v>PL</v>
      </c>
      <c r="T231" s="225" t="str">
        <f ca="1">IF(B231="","",IF(ISERROR(MATCH($J231,SorP!$B$1:$B$6230,0)),"",INDIRECT("'SorP'!$A$"&amp;MATCH($J231,SorP!$B$1:$B$6230,0))))</f>
        <v>PL-02</v>
      </c>
      <c r="U231" s="241"/>
      <c r="V231" s="275">
        <f>IF(C231="",NA(),MATCH($B231&amp;$C231,'Smelter Look-up'!$J:$J,0))</f>
        <v>126</v>
      </c>
      <c r="W231" s="276"/>
      <c r="X231" s="276">
        <f t="shared" si="34"/>
        <v>0</v>
      </c>
      <c r="Y231" s="276"/>
      <c r="Z231" s="276"/>
      <c r="AB231" s="278" t="str">
        <f t="shared" si="35"/>
        <v>GoldKGHM Polska Miedz Spolka Akcyjna</v>
      </c>
    </row>
    <row r="232" spans="1:28" s="277" customFormat="1" ht="24.75">
      <c r="A232" s="216" t="s">
        <v>1421</v>
      </c>
      <c r="B232" s="217" t="s">
        <v>1155</v>
      </c>
      <c r="C232" s="450" t="s">
        <v>2279</v>
      </c>
      <c r="D232" s="217"/>
      <c r="E232" s="217" t="s">
        <v>1123</v>
      </c>
      <c r="F232" s="217" t="s">
        <v>1421</v>
      </c>
      <c r="G232" s="217" t="s">
        <v>13577</v>
      </c>
      <c r="H232" s="451" t="s">
        <v>16351</v>
      </c>
      <c r="I232" s="452" t="s">
        <v>1781</v>
      </c>
      <c r="J232" s="452" t="s">
        <v>15601</v>
      </c>
      <c r="K232" s="453" t="s">
        <v>16352</v>
      </c>
      <c r="L232" s="453" t="s">
        <v>16353</v>
      </c>
      <c r="M232" s="453" t="s">
        <v>15640</v>
      </c>
      <c r="N232" s="453" t="s">
        <v>15511</v>
      </c>
      <c r="O232" s="453" t="s">
        <v>15807</v>
      </c>
      <c r="P232" s="454" t="s">
        <v>499</v>
      </c>
      <c r="Q232" s="455" t="s">
        <v>15520</v>
      </c>
      <c r="R232" s="217" t="str">
        <f ca="1">IF(ISERROR($V232),"",OFFSET('Smelter Look-up'!$C$4,$V232-4,0)&amp;"")</f>
        <v>Jiangxi Dinghai Tantalum &amp; Niobium Co., Ltd.</v>
      </c>
      <c r="S232" s="225" t="str">
        <f t="shared" ca="1" si="33"/>
        <v>CN</v>
      </c>
      <c r="T232" s="225" t="str">
        <f ca="1">IF(B232="","",IF(ISERROR(MATCH($J232,SorP!$B$1:$B$6230,0)),"",INDIRECT("'SorP'!$A$"&amp;MATCH($J232,SorP!$B$1:$B$6230,0))))</f>
        <v/>
      </c>
      <c r="U232" s="241"/>
      <c r="V232" s="275">
        <f>IF(C232="",NA(),MATCH($B232&amp;$C232,'Smelter Look-up'!$J:$J,0))</f>
        <v>314</v>
      </c>
      <c r="W232" s="276"/>
      <c r="X232" s="276">
        <f t="shared" si="34"/>
        <v>0</v>
      </c>
      <c r="Y232" s="276"/>
      <c r="Z232" s="276"/>
      <c r="AB232" s="278" t="str">
        <f t="shared" si="35"/>
        <v>TantalumJiangxi Dinghai Tantalum &amp; Niobium Co., Ltd.</v>
      </c>
    </row>
    <row r="233" spans="1:28" s="277" customFormat="1" ht="37.15">
      <c r="A233" s="216" t="s">
        <v>1429</v>
      </c>
      <c r="B233" s="217" t="s">
        <v>1156</v>
      </c>
      <c r="C233" s="450" t="s">
        <v>1428</v>
      </c>
      <c r="D233" s="217"/>
      <c r="E233" s="217" t="s">
        <v>1123</v>
      </c>
      <c r="F233" s="217" t="s">
        <v>1429</v>
      </c>
      <c r="G233" s="217" t="s">
        <v>13577</v>
      </c>
      <c r="H233" s="451" t="s">
        <v>16354</v>
      </c>
      <c r="I233" s="452" t="s">
        <v>1813</v>
      </c>
      <c r="J233" s="452" t="s">
        <v>15580</v>
      </c>
      <c r="K233" s="453" t="s">
        <v>16355</v>
      </c>
      <c r="L233" s="453" t="s">
        <v>16356</v>
      </c>
      <c r="M233" s="453" t="s">
        <v>15554</v>
      </c>
      <c r="N233" s="453" t="s">
        <v>15542</v>
      </c>
      <c r="O233" s="453" t="s">
        <v>15909</v>
      </c>
      <c r="P233" s="454" t="s">
        <v>499</v>
      </c>
      <c r="Q233" s="455" t="s">
        <v>15513</v>
      </c>
      <c r="R233" s="217" t="str">
        <f ca="1">IF(ISERROR($V233),"",OFFSET('Smelter Look-up'!$C$4,$V233-4,0)&amp;"")</f>
        <v>Chenzhou Diamond Tungsten Products Co., Ltd.</v>
      </c>
      <c r="S233" s="225" t="str">
        <f t="shared" ca="1" si="33"/>
        <v>CN</v>
      </c>
      <c r="T233" s="225" t="str">
        <f ca="1">IF(B233="","",IF(ISERROR(MATCH($J233,SorP!$B$1:$B$6230,0)),"",INDIRECT("'SorP'!$A$"&amp;MATCH($J233,SorP!$B$1:$B$6230,0))))</f>
        <v/>
      </c>
      <c r="U233" s="241"/>
      <c r="V233" s="275">
        <f>IF(C233="",NA(),MATCH($B233&amp;$C233,'Smelter Look-up'!$J:$J,0))</f>
        <v>497</v>
      </c>
      <c r="W233" s="276"/>
      <c r="X233" s="276">
        <f t="shared" si="34"/>
        <v>0</v>
      </c>
      <c r="Y233" s="276"/>
      <c r="Z233" s="276"/>
      <c r="AB233" s="278" t="str">
        <f t="shared" si="35"/>
        <v>TungstenChenzhou Diamond Tungsten Products Co., Ltd.</v>
      </c>
    </row>
    <row r="234" spans="1:28" s="277" customFormat="1" ht="20.25">
      <c r="A234" s="216" t="s">
        <v>1410</v>
      </c>
      <c r="B234" s="217" t="s">
        <v>1153</v>
      </c>
      <c r="C234" s="450" t="s">
        <v>1409</v>
      </c>
      <c r="D234" s="217"/>
      <c r="E234" s="217" t="s">
        <v>918</v>
      </c>
      <c r="F234" s="217" t="s">
        <v>1410</v>
      </c>
      <c r="G234" s="217" t="s">
        <v>13577</v>
      </c>
      <c r="H234" s="451">
        <v>0</v>
      </c>
      <c r="I234" s="452" t="s">
        <v>1733</v>
      </c>
      <c r="J234" s="452" t="s">
        <v>1734</v>
      </c>
      <c r="K234" s="453"/>
      <c r="L234" s="453"/>
      <c r="M234" s="453"/>
      <c r="N234" s="453"/>
      <c r="O234" s="453"/>
      <c r="P234" s="454"/>
      <c r="Q234" s="455"/>
      <c r="R234" s="217" t="str">
        <f ca="1">IF(ISERROR($V234),"",OFFSET('Smelter Look-up'!$C$4,$V234-4,0)&amp;"")</f>
        <v>Fidelity Printers and Refiners Ltd.</v>
      </c>
      <c r="S234" s="225" t="str">
        <f t="shared" ca="1" si="33"/>
        <v>ZW</v>
      </c>
      <c r="T234" s="225" t="str">
        <f ca="1">IF(B234="","",IF(ISERROR(MATCH($J234,SorP!$B$1:$B$6230,0)),"",INDIRECT("'SorP'!$A$"&amp;MATCH($J234,SorP!$B$1:$B$6230,0))))</f>
        <v>ZW-HA</v>
      </c>
      <c r="U234" s="241"/>
      <c r="V234" s="275">
        <f>IF(C234="",NA(),MATCH($B234&amp;$C234,'Smelter Look-up'!$J:$J,0))</f>
        <v>75</v>
      </c>
      <c r="W234" s="276"/>
      <c r="X234" s="276">
        <f t="shared" si="34"/>
        <v>0</v>
      </c>
      <c r="Y234" s="276"/>
      <c r="Z234" s="276"/>
      <c r="AB234" s="278" t="str">
        <f t="shared" si="35"/>
        <v>GoldFidelity Printers and Refiners Ltd.</v>
      </c>
    </row>
    <row r="235" spans="1:28" s="277" customFormat="1" ht="37.15">
      <c r="A235" s="216" t="s">
        <v>1417</v>
      </c>
      <c r="B235" s="217" t="s">
        <v>1153</v>
      </c>
      <c r="C235" s="450" t="s">
        <v>1416</v>
      </c>
      <c r="D235" s="217"/>
      <c r="E235" s="217" t="s">
        <v>2575</v>
      </c>
      <c r="F235" s="217" t="s">
        <v>1417</v>
      </c>
      <c r="G235" s="217" t="s">
        <v>13577</v>
      </c>
      <c r="H235" s="451" t="s">
        <v>16357</v>
      </c>
      <c r="I235" s="452" t="s">
        <v>1735</v>
      </c>
      <c r="J235" s="452" t="s">
        <v>1736</v>
      </c>
      <c r="K235" s="453" t="s">
        <v>16358</v>
      </c>
      <c r="L235" s="453" t="s">
        <v>16359</v>
      </c>
      <c r="M235" s="453" t="s">
        <v>15554</v>
      </c>
      <c r="N235" s="453" t="s">
        <v>15518</v>
      </c>
      <c r="O235" s="453" t="s">
        <v>15519</v>
      </c>
      <c r="P235" s="454" t="s">
        <v>498</v>
      </c>
      <c r="Q235" s="455" t="s">
        <v>15520</v>
      </c>
      <c r="R235" s="217" t="str">
        <f ca="1">IF(ISERROR($V235),"",OFFSET('Smelter Look-up'!$C$4,$V235-4,0)&amp;"")</f>
        <v>Singway Technology Co., Ltd.</v>
      </c>
      <c r="S235" s="225" t="str">
        <f t="shared" ca="1" si="33"/>
        <v>TW</v>
      </c>
      <c r="T235" s="225" t="str">
        <f ca="1">IF(B235="","",IF(ISERROR(MATCH($J235,SorP!$B$1:$B$6230,0)),"",INDIRECT("'SorP'!$A$"&amp;MATCH($J235,SorP!$B$1:$B$6230,0))))</f>
        <v>TW-TAO</v>
      </c>
      <c r="U235" s="241"/>
      <c r="V235" s="275">
        <f>IF(C235="",NA(),MATCH($B235&amp;$C235,'Smelter Look-up'!$J:$J,0))</f>
        <v>230</v>
      </c>
      <c r="W235" s="276"/>
      <c r="X235" s="276">
        <f t="shared" si="34"/>
        <v>0</v>
      </c>
      <c r="Y235" s="276"/>
      <c r="Z235" s="276"/>
      <c r="AB235" s="278" t="str">
        <f t="shared" si="35"/>
        <v>GoldSingway Technology Co., Ltd.</v>
      </c>
    </row>
    <row r="236" spans="1:28" s="277" customFormat="1" ht="37.15">
      <c r="A236" s="216" t="s">
        <v>1425</v>
      </c>
      <c r="B236" s="217" t="s">
        <v>1154</v>
      </c>
      <c r="C236" s="450" t="s">
        <v>1424</v>
      </c>
      <c r="D236" s="217"/>
      <c r="E236" s="217" t="s">
        <v>904</v>
      </c>
      <c r="F236" s="217" t="s">
        <v>1425</v>
      </c>
      <c r="G236" s="217" t="s">
        <v>13577</v>
      </c>
      <c r="H236" s="451" t="s">
        <v>16360</v>
      </c>
      <c r="I236" s="452" t="s">
        <v>13278</v>
      </c>
      <c r="J236" s="452" t="s">
        <v>9774</v>
      </c>
      <c r="K236" s="453" t="s">
        <v>16361</v>
      </c>
      <c r="L236" s="453" t="s">
        <v>16362</v>
      </c>
      <c r="M236" s="453" t="s">
        <v>15554</v>
      </c>
      <c r="N236" s="453" t="s">
        <v>15518</v>
      </c>
      <c r="O236" s="453" t="s">
        <v>15519</v>
      </c>
      <c r="P236" s="454" t="s">
        <v>498</v>
      </c>
      <c r="Q236" s="455" t="s">
        <v>15513</v>
      </c>
      <c r="R236" s="217" t="str">
        <f ca="1">IF(ISERROR($V236),"",OFFSET('Smelter Look-up'!$C$4,$V236-4,0)&amp;"")</f>
        <v>O.M. Manufacturing Philippines, Inc.</v>
      </c>
      <c r="S236" s="225" t="str">
        <f t="shared" ca="1" si="33"/>
        <v>PH</v>
      </c>
      <c r="T236" s="225" t="str">
        <f ca="1">IF(B236="","",IF(ISERROR(MATCH($J236,SorP!$B$1:$B$6230,0)),"",INDIRECT("'SorP'!$A$"&amp;MATCH($J236,SorP!$B$1:$B$6230,0))))</f>
        <v>PH-CAV</v>
      </c>
      <c r="U236" s="241"/>
      <c r="V236" s="275">
        <f>IF(C236="",NA(),MATCH($B236&amp;$C236,'Smelter Look-up'!$J:$J,0))</f>
        <v>432</v>
      </c>
      <c r="W236" s="276"/>
      <c r="X236" s="276">
        <f t="shared" si="34"/>
        <v>0</v>
      </c>
      <c r="Y236" s="276"/>
      <c r="Z236" s="276"/>
      <c r="AB236" s="278" t="str">
        <f t="shared" si="35"/>
        <v>TinO.M. Manufacturing Philippines, Inc.</v>
      </c>
    </row>
    <row r="237" spans="1:28" s="277" customFormat="1" ht="61.9">
      <c r="A237" s="216" t="s">
        <v>16363</v>
      </c>
      <c r="B237" s="217" t="s">
        <v>1154</v>
      </c>
      <c r="C237" s="450" t="s">
        <v>16364</v>
      </c>
      <c r="D237" s="217"/>
      <c r="E237" s="217" t="s">
        <v>1128</v>
      </c>
      <c r="F237" s="217" t="s">
        <v>16363</v>
      </c>
      <c r="G237" s="217" t="s">
        <v>13577</v>
      </c>
      <c r="H237" s="451" t="s">
        <v>16365</v>
      </c>
      <c r="I237" s="452" t="s">
        <v>1805</v>
      </c>
      <c r="J237" s="452" t="s">
        <v>13183</v>
      </c>
      <c r="K237" s="473" t="s">
        <v>16366</v>
      </c>
      <c r="L237" s="473" t="s">
        <v>16367</v>
      </c>
      <c r="M237" s="473" t="s">
        <v>16284</v>
      </c>
      <c r="N237" s="473" t="s">
        <v>15511</v>
      </c>
      <c r="O237" s="473" t="s">
        <v>15555</v>
      </c>
      <c r="P237" s="454" t="s">
        <v>499</v>
      </c>
      <c r="Q237" s="455" t="s">
        <v>15513</v>
      </c>
      <c r="R237" s="217" t="str">
        <f ca="1">IF(ISERROR($V237),"",OFFSET('Smelter Look-up'!$C$4,$V237-4,0)&amp;"")</f>
        <v/>
      </c>
      <c r="S237" s="225" t="str">
        <f t="shared" ca="1" si="33"/>
        <v>ID</v>
      </c>
      <c r="T237" s="225" t="str">
        <f ca="1">IF(B237="","",IF(ISERROR(MATCH($J237,SorP!$B$1:$B$6230,0)),"",INDIRECT("'SorP'!$A$"&amp;MATCH($J237,SorP!$B$1:$B$6230,0))))</f>
        <v>ID-BB</v>
      </c>
      <c r="U237" s="241"/>
      <c r="V237" s="275" t="e">
        <f>IF(C237="",NA(),MATCH($B237&amp;$C237,'Smelter Look-up'!$J:$J,0))</f>
        <v>#N/A</v>
      </c>
      <c r="W237" s="276"/>
      <c r="X237" s="276">
        <f t="shared" si="34"/>
        <v>0</v>
      </c>
      <c r="Y237" s="276"/>
      <c r="Z237" s="276"/>
      <c r="AB237" s="278" t="str">
        <f t="shared" si="35"/>
        <v>TinPT Inti Stania Prima</v>
      </c>
    </row>
    <row r="238" spans="1:28" s="277" customFormat="1" ht="24.75">
      <c r="A238" s="456" t="s">
        <v>16368</v>
      </c>
      <c r="B238" s="457" t="s">
        <v>1156</v>
      </c>
      <c r="C238" s="474" t="s">
        <v>16369</v>
      </c>
      <c r="D238" s="457"/>
      <c r="E238" s="457" t="s">
        <v>1123</v>
      </c>
      <c r="F238" s="457" t="s">
        <v>16368</v>
      </c>
      <c r="G238" s="457" t="s">
        <v>15611</v>
      </c>
      <c r="H238" s="475">
        <v>0</v>
      </c>
      <c r="I238" s="476" t="s">
        <v>1883</v>
      </c>
      <c r="J238" s="476" t="s">
        <v>15601</v>
      </c>
      <c r="K238" s="477"/>
      <c r="L238" s="477"/>
      <c r="M238" s="477"/>
      <c r="N238" s="477"/>
      <c r="O238" s="477"/>
      <c r="P238" s="478"/>
      <c r="Q238" s="479"/>
      <c r="R238" s="217" t="str">
        <f ca="1">IF(ISERROR($V238),"",OFFSET('Smelter Look-up'!$C$4,$V238-4,0)&amp;"")</f>
        <v/>
      </c>
      <c r="S238" s="225" t="str">
        <f t="shared" ca="1" si="33"/>
        <v>CN</v>
      </c>
      <c r="T238" s="225" t="str">
        <f ca="1">IF(B238="","",IF(ISERROR(MATCH($J238,SorP!$B$1:$B$6230,0)),"",INDIRECT("'SorP'!$A$"&amp;MATCH($J238,SorP!$B$1:$B$6230,0))))</f>
        <v/>
      </c>
      <c r="U238" s="241"/>
      <c r="V238" s="275" t="e">
        <f>IF(C238="",NA(),MATCH($B238&amp;$C238,'Smelter Look-up'!$J:$J,0))</f>
        <v>#N/A</v>
      </c>
      <c r="W238" s="276"/>
      <c r="X238" s="276">
        <f t="shared" si="34"/>
        <v>0</v>
      </c>
      <c r="Y238" s="276"/>
      <c r="Z238" s="276"/>
      <c r="AB238" s="278" t="str">
        <f t="shared" si="35"/>
        <v>TungstenJiangxi Xiushui Xianggan Nonferrous Metals Co., Ltd.</v>
      </c>
    </row>
    <row r="239" spans="1:28" s="277" customFormat="1" ht="20.25">
      <c r="A239" s="456" t="s">
        <v>16370</v>
      </c>
      <c r="B239" s="217" t="s">
        <v>1156</v>
      </c>
      <c r="C239" s="450" t="s">
        <v>16371</v>
      </c>
      <c r="D239" s="217"/>
      <c r="E239" s="217" t="s">
        <v>1123</v>
      </c>
      <c r="F239" s="217" t="s">
        <v>16370</v>
      </c>
      <c r="G239" s="457" t="s">
        <v>15611</v>
      </c>
      <c r="H239" s="451">
        <v>0</v>
      </c>
      <c r="I239" s="452" t="s">
        <v>1812</v>
      </c>
      <c r="J239" s="452" t="s">
        <v>15601</v>
      </c>
      <c r="K239" s="453"/>
      <c r="L239" s="453"/>
      <c r="M239" s="453"/>
      <c r="N239" s="453"/>
      <c r="O239" s="453"/>
      <c r="P239" s="454"/>
      <c r="Q239" s="455"/>
      <c r="R239" s="217" t="str">
        <f ca="1">IF(ISERROR($V239),"",OFFSET('Smelter Look-up'!$C$4,$V239-4,0)&amp;"")</f>
        <v/>
      </c>
      <c r="S239" s="225" t="str">
        <f t="shared" ca="1" si="33"/>
        <v>CN</v>
      </c>
      <c r="T239" s="225" t="str">
        <f ca="1">IF(B239="","",IF(ISERROR(MATCH($J239,SorP!$B$1:$B$6230,0)),"",INDIRECT("'SorP'!$A$"&amp;MATCH($J239,SorP!$B$1:$B$6230,0))))</f>
        <v/>
      </c>
      <c r="U239" s="241"/>
      <c r="V239" s="275" t="e">
        <f>IF(C239="",NA(),MATCH($B239&amp;$C239,'Smelter Look-up'!$J:$J,0))</f>
        <v>#N/A</v>
      </c>
      <c r="W239" s="276"/>
      <c r="X239" s="276">
        <f t="shared" si="34"/>
        <v>0</v>
      </c>
      <c r="Y239" s="276"/>
      <c r="Z239" s="276"/>
      <c r="AB239" s="278" t="str">
        <f t="shared" si="35"/>
        <v>TungstenGanzhou Yatai Tungsten Co., Ltd.</v>
      </c>
    </row>
    <row r="240" spans="1:28" s="277" customFormat="1" ht="37.15">
      <c r="A240" s="216" t="s">
        <v>1449</v>
      </c>
      <c r="B240" s="217" t="s">
        <v>1155</v>
      </c>
      <c r="C240" s="450" t="s">
        <v>1448</v>
      </c>
      <c r="D240" s="217"/>
      <c r="E240" s="217" t="s">
        <v>1136</v>
      </c>
      <c r="F240" s="217" t="s">
        <v>1449</v>
      </c>
      <c r="G240" s="217" t="s">
        <v>13577</v>
      </c>
      <c r="H240" s="451" t="s">
        <v>16372</v>
      </c>
      <c r="I240" s="452" t="s">
        <v>1782</v>
      </c>
      <c r="J240" s="452" t="s">
        <v>1783</v>
      </c>
      <c r="K240" s="453" t="s">
        <v>16373</v>
      </c>
      <c r="L240" s="453" t="s">
        <v>16374</v>
      </c>
      <c r="M240" s="453" t="s">
        <v>16375</v>
      </c>
      <c r="N240" s="453" t="s">
        <v>15542</v>
      </c>
      <c r="O240" s="453" t="s">
        <v>15909</v>
      </c>
      <c r="P240" s="454" t="s">
        <v>499</v>
      </c>
      <c r="Q240" s="455" t="s">
        <v>15520</v>
      </c>
      <c r="R240" s="217" t="str">
        <f ca="1">IF(ISERROR($V240),"",OFFSET('Smelter Look-up'!$C$4,$V240-4,0)&amp;"")</f>
        <v>KEMET Blue Metals</v>
      </c>
      <c r="S240" s="225" t="str">
        <f t="shared" ca="1" si="33"/>
        <v>MX</v>
      </c>
      <c r="T240" s="225" t="str">
        <f ca="1">IF(B240="","",IF(ISERROR(MATCH($J240,SorP!$B$1:$B$6230,0)),"",INDIRECT("'SorP'!$A$"&amp;MATCH($J240,SorP!$B$1:$B$6230,0))))</f>
        <v>MX-TAM</v>
      </c>
      <c r="U240" s="241"/>
      <c r="V240" s="275">
        <f>IF(C240="",NA(),MATCH($B240&amp;$C240,'Smelter Look-up'!$J:$J,0))</f>
        <v>320</v>
      </c>
      <c r="W240" s="276"/>
      <c r="X240" s="276">
        <f t="shared" si="34"/>
        <v>0</v>
      </c>
      <c r="Y240" s="276"/>
      <c r="Z240" s="276"/>
      <c r="AB240" s="278" t="str">
        <f t="shared" si="35"/>
        <v>TantalumKEMET Blue Metals</v>
      </c>
    </row>
    <row r="241" spans="1:28" s="277" customFormat="1" ht="37.15">
      <c r="A241" s="216" t="s">
        <v>1451</v>
      </c>
      <c r="B241" s="217" t="s">
        <v>1156</v>
      </c>
      <c r="C241" s="450" t="s">
        <v>2685</v>
      </c>
      <c r="D241" s="217"/>
      <c r="E241" s="217" t="s">
        <v>1124</v>
      </c>
      <c r="F241" s="217" t="s">
        <v>1451</v>
      </c>
      <c r="G241" s="217" t="s">
        <v>13577</v>
      </c>
      <c r="H241" s="451" t="s">
        <v>16376</v>
      </c>
      <c r="I241" s="452" t="s">
        <v>1786</v>
      </c>
      <c r="J241" s="452" t="s">
        <v>4399</v>
      </c>
      <c r="K241" s="453" t="s">
        <v>16377</v>
      </c>
      <c r="L241" s="453" t="s">
        <v>16378</v>
      </c>
      <c r="M241" s="453" t="s">
        <v>16379</v>
      </c>
      <c r="N241" s="453" t="s">
        <v>15542</v>
      </c>
      <c r="O241" s="453" t="s">
        <v>16380</v>
      </c>
      <c r="P241" s="454" t="s">
        <v>499</v>
      </c>
      <c r="Q241" s="455" t="s">
        <v>15513</v>
      </c>
      <c r="R241" s="217" t="str">
        <f ca="1">IF(ISERROR($V241),"",OFFSET('Smelter Look-up'!$C$4,$V241-4,0)&amp;"")</f>
        <v>H.C. Starck Tungsten GmbH</v>
      </c>
      <c r="S241" s="225" t="str">
        <f t="shared" ca="1" si="33"/>
        <v>DE</v>
      </c>
      <c r="T241" s="225" t="str">
        <f ca="1">IF(B241="","",IF(ISERROR(MATCH($J241,SorP!$B$1:$B$6230,0)),"",INDIRECT("'SorP'!$A$"&amp;MATCH($J241,SorP!$B$1:$B$6230,0))))</f>
        <v>DE-NI</v>
      </c>
      <c r="U241" s="241"/>
      <c r="V241" s="275">
        <f>IF(C241="",NA(),MATCH($B241&amp;$C241,'Smelter Look-up'!$J:$J,0))</f>
        <v>516</v>
      </c>
      <c r="W241" s="276"/>
      <c r="X241" s="276">
        <f t="shared" si="34"/>
        <v>0</v>
      </c>
      <c r="Y241" s="276"/>
      <c r="Z241" s="276"/>
      <c r="AB241" s="278" t="str">
        <f t="shared" si="35"/>
        <v>TungstenH.C. Starck Tungsten GmbH</v>
      </c>
    </row>
    <row r="242" spans="1:28" s="277" customFormat="1" ht="37.15">
      <c r="A242" s="216" t="s">
        <v>1452</v>
      </c>
      <c r="B242" s="217" t="s">
        <v>1156</v>
      </c>
      <c r="C242" s="450" t="s">
        <v>2461</v>
      </c>
      <c r="D242" s="217"/>
      <c r="E242" s="217" t="s">
        <v>1124</v>
      </c>
      <c r="F242" s="217" t="s">
        <v>1452</v>
      </c>
      <c r="G242" s="217" t="s">
        <v>13577</v>
      </c>
      <c r="H242" s="451" t="s">
        <v>16381</v>
      </c>
      <c r="I242" s="452" t="s">
        <v>1787</v>
      </c>
      <c r="J242" s="452" t="s">
        <v>1573</v>
      </c>
      <c r="K242" s="453" t="s">
        <v>16377</v>
      </c>
      <c r="L242" s="453" t="s">
        <v>16378</v>
      </c>
      <c r="M242" s="453" t="s">
        <v>15699</v>
      </c>
      <c r="N242" s="453" t="s">
        <v>15542</v>
      </c>
      <c r="O242" s="453" t="s">
        <v>16380</v>
      </c>
      <c r="P242" s="454" t="s">
        <v>499</v>
      </c>
      <c r="Q242" s="455" t="s">
        <v>15513</v>
      </c>
      <c r="R242" s="217" t="str">
        <f ca="1">IF(ISERROR($V242),"",OFFSET('Smelter Look-up'!$C$4,$V242-4,0)&amp;"")</f>
        <v>H.C. Starck Smelting GmbH &amp; Co. KG</v>
      </c>
      <c r="S242" s="225" t="str">
        <f t="shared" ca="1" si="33"/>
        <v>DE</v>
      </c>
      <c r="T242" s="225" t="str">
        <f ca="1">IF(B242="","",IF(ISERROR(MATCH($J242,SorP!$B$1:$B$6230,0)),"",INDIRECT("'SorP'!$A$"&amp;MATCH($J242,SorP!$B$1:$B$6230,0))))</f>
        <v>DE-BW</v>
      </c>
      <c r="U242" s="241"/>
      <c r="V242" s="275">
        <f>IF(C242="",NA(),MATCH($B242&amp;$C242,'Smelter Look-up'!$J:$J,0))</f>
        <v>515</v>
      </c>
      <c r="W242" s="276"/>
      <c r="X242" s="276">
        <f t="shared" si="34"/>
        <v>0</v>
      </c>
      <c r="Y242" s="276"/>
      <c r="Z242" s="276"/>
      <c r="AB242" s="278" t="str">
        <f t="shared" si="35"/>
        <v>TungstenH.C. Starck Smelting GmbH &amp; Co. KG</v>
      </c>
    </row>
    <row r="243" spans="1:28" s="277" customFormat="1" ht="37.15">
      <c r="A243" s="216" t="s">
        <v>1455</v>
      </c>
      <c r="B243" s="217" t="s">
        <v>1156</v>
      </c>
      <c r="C243" s="450" t="s">
        <v>1456</v>
      </c>
      <c r="D243" s="217"/>
      <c r="E243" s="217" t="s">
        <v>915</v>
      </c>
      <c r="F243" s="217" t="s">
        <v>1455</v>
      </c>
      <c r="G243" s="217" t="s">
        <v>13577</v>
      </c>
      <c r="H243" s="451" t="s">
        <v>16382</v>
      </c>
      <c r="I243" s="452" t="s">
        <v>1885</v>
      </c>
      <c r="J243" s="452" t="s">
        <v>12459</v>
      </c>
      <c r="K243" s="453" t="s">
        <v>16383</v>
      </c>
      <c r="L243" s="453" t="s">
        <v>16384</v>
      </c>
      <c r="M243" s="453" t="s">
        <v>16284</v>
      </c>
      <c r="N243" s="453" t="s">
        <v>15542</v>
      </c>
      <c r="O243" s="453" t="s">
        <v>16385</v>
      </c>
      <c r="P243" s="454" t="s">
        <v>499</v>
      </c>
      <c r="Q243" s="455" t="s">
        <v>15513</v>
      </c>
      <c r="R243" s="217" t="str">
        <f ca="1">IF(ISERROR($V243),"",OFFSET('Smelter Look-up'!$C$4,$V243-4,0)&amp;"")</f>
        <v>Masan Tungsten Chemical LLC (MTC)</v>
      </c>
      <c r="S243" s="225" t="str">
        <f t="shared" ca="1" si="33"/>
        <v>VN</v>
      </c>
      <c r="T243" s="225" t="str">
        <f ca="1">IF(B243="","",IF(ISERROR(MATCH($J243,SorP!$B$1:$B$6230,0)),"",INDIRECT("'SorP'!$A$"&amp;MATCH($J243,SorP!$B$1:$B$6230,0))))</f>
        <v>VN-69</v>
      </c>
      <c r="U243" s="241"/>
      <c r="V243" s="275">
        <f>IF(C243="",NA(),MATCH($B243&amp;$C243,'Smelter Look-up'!$J:$J,0))</f>
        <v>546</v>
      </c>
      <c r="W243" s="276"/>
      <c r="X243" s="276">
        <f t="shared" si="34"/>
        <v>0</v>
      </c>
      <c r="Y243" s="276"/>
      <c r="Z243" s="276"/>
      <c r="AB243" s="278" t="str">
        <f t="shared" si="35"/>
        <v>TungstenNui Phao H.C. Starck Tungsten Chemicals Manufacturing LLC</v>
      </c>
    </row>
    <row r="244" spans="1:28" s="277" customFormat="1" ht="37.15">
      <c r="A244" s="216" t="s">
        <v>1439</v>
      </c>
      <c r="B244" s="217" t="s">
        <v>1155</v>
      </c>
      <c r="C244" s="450" t="s">
        <v>1438</v>
      </c>
      <c r="D244" s="217"/>
      <c r="E244" s="217" t="s">
        <v>911</v>
      </c>
      <c r="F244" s="217" t="s">
        <v>1439</v>
      </c>
      <c r="G244" s="217" t="s">
        <v>13577</v>
      </c>
      <c r="H244" s="451" t="s">
        <v>16386</v>
      </c>
      <c r="I244" s="452" t="s">
        <v>1784</v>
      </c>
      <c r="J244" s="452" t="s">
        <v>1785</v>
      </c>
      <c r="K244" s="453" t="s">
        <v>16387</v>
      </c>
      <c r="L244" s="453" t="s">
        <v>16388</v>
      </c>
      <c r="M244" s="453" t="s">
        <v>16239</v>
      </c>
      <c r="N244" s="453" t="s">
        <v>15542</v>
      </c>
      <c r="O244" s="453" t="s">
        <v>15909</v>
      </c>
      <c r="P244" s="454" t="s">
        <v>499</v>
      </c>
      <c r="Q244" s="455" t="s">
        <v>15513</v>
      </c>
      <c r="R244" s="217" t="str">
        <f ca="1">IF(ISERROR($V244),"",OFFSET('Smelter Look-up'!$C$4,$V244-4,0)&amp;"")</f>
        <v>H.C. Starck Co., Ltd.</v>
      </c>
      <c r="S244" s="225" t="str">
        <f t="shared" ca="1" si="33"/>
        <v>TH</v>
      </c>
      <c r="T244" s="225" t="str">
        <f ca="1">IF(B244="","",IF(ISERROR(MATCH($J244,SorP!$B$1:$B$6230,0)),"",INDIRECT("'SorP'!$A$"&amp;MATCH($J244,SorP!$B$1:$B$6230,0))))</f>
        <v>TH-21</v>
      </c>
      <c r="U244" s="241"/>
      <c r="V244" s="275">
        <f>IF(C244="",NA(),MATCH($B244&amp;$C244,'Smelter Look-up'!$J:$J,0))</f>
        <v>307</v>
      </c>
      <c r="W244" s="276"/>
      <c r="X244" s="276">
        <f t="shared" si="34"/>
        <v>0</v>
      </c>
      <c r="Y244" s="276"/>
      <c r="Z244" s="276"/>
      <c r="AB244" s="278" t="str">
        <f t="shared" si="35"/>
        <v>TantalumH.C. Starck Co., Ltd.</v>
      </c>
    </row>
    <row r="245" spans="1:28" s="277" customFormat="1" ht="74.25">
      <c r="A245" s="216" t="s">
        <v>1440</v>
      </c>
      <c r="B245" s="217" t="s">
        <v>1155</v>
      </c>
      <c r="C245" s="450" t="s">
        <v>2673</v>
      </c>
      <c r="D245" s="217"/>
      <c r="E245" s="217" t="s">
        <v>1124</v>
      </c>
      <c r="F245" s="217" t="s">
        <v>1440</v>
      </c>
      <c r="G245" s="217" t="s">
        <v>13577</v>
      </c>
      <c r="H245" s="451" t="s">
        <v>16376</v>
      </c>
      <c r="I245" s="452" t="s">
        <v>1786</v>
      </c>
      <c r="J245" s="452" t="s">
        <v>4399</v>
      </c>
      <c r="K245" s="453" t="s">
        <v>16387</v>
      </c>
      <c r="L245" s="453" t="s">
        <v>16388</v>
      </c>
      <c r="M245" s="453" t="s">
        <v>16325</v>
      </c>
      <c r="N245" s="453" t="s">
        <v>15542</v>
      </c>
      <c r="O245" s="453" t="s">
        <v>16389</v>
      </c>
      <c r="P245" s="454" t="s">
        <v>499</v>
      </c>
      <c r="Q245" s="455" t="s">
        <v>15513</v>
      </c>
      <c r="R245" s="217" t="str">
        <f ca="1">IF(ISERROR($V245),"",OFFSET('Smelter Look-up'!$C$4,$V245-4,0)&amp;"")</f>
        <v>H.C. Starck Tantalum and Niobium GmbH</v>
      </c>
      <c r="S245" s="225" t="str">
        <f t="shared" ca="1" si="33"/>
        <v>DE</v>
      </c>
      <c r="T245" s="225" t="str">
        <f ca="1">IF(B245="","",IF(ISERROR(MATCH($J245,SorP!$B$1:$B$6230,0)),"",INDIRECT("'SorP'!$A$"&amp;MATCH($J245,SorP!$B$1:$B$6230,0))))</f>
        <v>DE-NI</v>
      </c>
      <c r="U245" s="241"/>
      <c r="V245" s="275">
        <f>IF(C245="",NA(),MATCH($B245&amp;$C245,'Smelter Look-up'!$J:$J,0))</f>
        <v>312</v>
      </c>
      <c r="W245" s="276"/>
      <c r="X245" s="276">
        <f t="shared" si="34"/>
        <v>0</v>
      </c>
      <c r="Y245" s="276"/>
      <c r="Z245" s="276"/>
      <c r="AB245" s="278" t="str">
        <f t="shared" si="35"/>
        <v>TantalumH.C. Starck Tantalum and Niobium GmbH</v>
      </c>
    </row>
    <row r="246" spans="1:28" s="277" customFormat="1" ht="24.75">
      <c r="A246" s="216" t="s">
        <v>1442</v>
      </c>
      <c r="B246" s="217" t="s">
        <v>1155</v>
      </c>
      <c r="C246" s="450" t="s">
        <v>1441</v>
      </c>
      <c r="D246" s="217"/>
      <c r="E246" s="217" t="s">
        <v>1124</v>
      </c>
      <c r="F246" s="217" t="s">
        <v>1442</v>
      </c>
      <c r="G246" s="217" t="s">
        <v>13577</v>
      </c>
      <c r="H246" s="451" t="s">
        <v>16390</v>
      </c>
      <c r="I246" s="452" t="s">
        <v>1788</v>
      </c>
      <c r="J246" s="452" t="s">
        <v>4377</v>
      </c>
      <c r="K246" s="453" t="s">
        <v>16387</v>
      </c>
      <c r="L246" s="453" t="s">
        <v>16388</v>
      </c>
      <c r="M246" s="453" t="s">
        <v>15996</v>
      </c>
      <c r="N246" s="453" t="s">
        <v>16391</v>
      </c>
      <c r="O246" s="453" t="s">
        <v>16392</v>
      </c>
      <c r="P246" s="454" t="s">
        <v>499</v>
      </c>
      <c r="Q246" s="455" t="s">
        <v>15513</v>
      </c>
      <c r="R246" s="217" t="str">
        <f ca="1">IF(ISERROR($V246),"",OFFSET('Smelter Look-up'!$C$4,$V246-4,0)&amp;"")</f>
        <v>H.C. Starck Hermsdorf GmbH</v>
      </c>
      <c r="S246" s="225" t="str">
        <f t="shared" ca="1" si="33"/>
        <v>DE</v>
      </c>
      <c r="T246" s="225" t="str">
        <f ca="1">IF(B246="","",IF(ISERROR(MATCH($J246,SorP!$B$1:$B$6230,0)),"",INDIRECT("'SorP'!$A$"&amp;MATCH($J246,SorP!$B$1:$B$6230,0))))</f>
        <v>DE-TH</v>
      </c>
      <c r="U246" s="241"/>
      <c r="V246" s="275">
        <f>IF(C246="",NA(),MATCH($B246&amp;$C246,'Smelter Look-up'!$J:$J,0))</f>
        <v>308</v>
      </c>
      <c r="W246" s="276"/>
      <c r="X246" s="276">
        <f t="shared" si="34"/>
        <v>0</v>
      </c>
      <c r="Y246" s="276"/>
      <c r="Z246" s="276"/>
      <c r="AB246" s="278" t="str">
        <f t="shared" si="35"/>
        <v>TantalumH.C. Starck Hermsdorf GmbH</v>
      </c>
    </row>
    <row r="247" spans="1:28" s="277" customFormat="1" ht="24.75">
      <c r="A247" s="216" t="s">
        <v>1444</v>
      </c>
      <c r="B247" s="217" t="s">
        <v>1155</v>
      </c>
      <c r="C247" s="450" t="s">
        <v>1443</v>
      </c>
      <c r="D247" s="217"/>
      <c r="E247" s="217" t="s">
        <v>2576</v>
      </c>
      <c r="F247" s="217" t="s">
        <v>1444</v>
      </c>
      <c r="G247" s="217" t="s">
        <v>13577</v>
      </c>
      <c r="H247" s="451" t="s">
        <v>16393</v>
      </c>
      <c r="I247" s="452" t="s">
        <v>1789</v>
      </c>
      <c r="J247" s="452" t="s">
        <v>1655</v>
      </c>
      <c r="K247" s="453" t="s">
        <v>16387</v>
      </c>
      <c r="L247" s="453" t="s">
        <v>16388</v>
      </c>
      <c r="M247" s="453" t="s">
        <v>15577</v>
      </c>
      <c r="N247" s="453" t="s">
        <v>16394</v>
      </c>
      <c r="O247" s="453" t="s">
        <v>15771</v>
      </c>
      <c r="P247" s="454" t="s">
        <v>499</v>
      </c>
      <c r="Q247" s="455" t="s">
        <v>15513</v>
      </c>
      <c r="R247" s="217" t="str">
        <f ca="1">IF(ISERROR($V247),"",OFFSET('Smelter Look-up'!$C$4,$V247-4,0)&amp;"")</f>
        <v>H.C. Starck Inc.</v>
      </c>
      <c r="S247" s="225" t="str">
        <f t="shared" ca="1" si="33"/>
        <v>US</v>
      </c>
      <c r="T247" s="225" t="str">
        <f ca="1">IF(B247="","",IF(ISERROR(MATCH($J247,SorP!$B$1:$B$6230,0)),"",INDIRECT("'SorP'!$A$"&amp;MATCH($J247,SorP!$B$1:$B$6230,0))))</f>
        <v>US-MA</v>
      </c>
      <c r="U247" s="241"/>
      <c r="V247" s="275">
        <f>IF(C247="",NA(),MATCH($B247&amp;$C247,'Smelter Look-up'!$J:$J,0))</f>
        <v>309</v>
      </c>
      <c r="W247" s="276"/>
      <c r="X247" s="276">
        <f t="shared" si="34"/>
        <v>0</v>
      </c>
      <c r="Y247" s="276"/>
      <c r="Z247" s="276"/>
      <c r="AB247" s="278" t="str">
        <f t="shared" si="35"/>
        <v>TantalumH.C. Starck Inc.</v>
      </c>
    </row>
    <row r="248" spans="1:28" s="277" customFormat="1" ht="37.15">
      <c r="A248" s="216" t="s">
        <v>1446</v>
      </c>
      <c r="B248" s="217" t="s">
        <v>1155</v>
      </c>
      <c r="C248" s="450" t="s">
        <v>1445</v>
      </c>
      <c r="D248" s="217"/>
      <c r="E248" s="217" t="s">
        <v>1131</v>
      </c>
      <c r="F248" s="217" t="s">
        <v>1446</v>
      </c>
      <c r="G248" s="217" t="s">
        <v>13577</v>
      </c>
      <c r="H248" s="451" t="s">
        <v>16395</v>
      </c>
      <c r="I248" s="452" t="s">
        <v>1790</v>
      </c>
      <c r="J248" s="452" t="s">
        <v>1791</v>
      </c>
      <c r="K248" s="453" t="s">
        <v>16387</v>
      </c>
      <c r="L248" s="453" t="s">
        <v>16388</v>
      </c>
      <c r="M248" s="453" t="s">
        <v>16396</v>
      </c>
      <c r="N248" s="453" t="s">
        <v>15511</v>
      </c>
      <c r="O248" s="453" t="s">
        <v>15771</v>
      </c>
      <c r="P248" s="454" t="s">
        <v>499</v>
      </c>
      <c r="Q248" s="455" t="s">
        <v>15513</v>
      </c>
      <c r="R248" s="217" t="str">
        <f ca="1">IF(ISERROR($V248),"",OFFSET('Smelter Look-up'!$C$4,$V248-4,0)&amp;"")</f>
        <v>H.C. Starck Ltd.</v>
      </c>
      <c r="S248" s="225" t="str">
        <f t="shared" ca="1" si="33"/>
        <v>JP</v>
      </c>
      <c r="T248" s="225" t="str">
        <f ca="1">IF(B248="","",IF(ISERROR(MATCH($J248,SorP!$B$1:$B$6230,0)),"",INDIRECT("'SorP'!$A$"&amp;MATCH($J248,SorP!$B$1:$B$6230,0))))</f>
        <v>JP-08</v>
      </c>
      <c r="U248" s="241"/>
      <c r="V248" s="275">
        <f>IF(C248="",NA(),MATCH($B248&amp;$C248,'Smelter Look-up'!$J:$J,0))</f>
        <v>310</v>
      </c>
      <c r="W248" s="276"/>
      <c r="X248" s="276">
        <f t="shared" si="34"/>
        <v>0</v>
      </c>
      <c r="Y248" s="276"/>
      <c r="Z248" s="276"/>
      <c r="AB248" s="278" t="str">
        <f t="shared" si="35"/>
        <v>TantalumH.C. Starck Ltd.</v>
      </c>
    </row>
    <row r="249" spans="1:28" s="277" customFormat="1" ht="24.75">
      <c r="A249" s="216" t="s">
        <v>1447</v>
      </c>
      <c r="B249" s="217" t="s">
        <v>1155</v>
      </c>
      <c r="C249" s="450" t="s">
        <v>2461</v>
      </c>
      <c r="D249" s="217"/>
      <c r="E249" s="217" t="s">
        <v>1124</v>
      </c>
      <c r="F249" s="217" t="s">
        <v>1447</v>
      </c>
      <c r="G249" s="217" t="s">
        <v>13577</v>
      </c>
      <c r="H249" s="451" t="s">
        <v>16381</v>
      </c>
      <c r="I249" s="452" t="s">
        <v>1787</v>
      </c>
      <c r="J249" s="452" t="s">
        <v>1573</v>
      </c>
      <c r="K249" s="453" t="s">
        <v>16387</v>
      </c>
      <c r="L249" s="453" t="s">
        <v>16388</v>
      </c>
      <c r="M249" s="453" t="s">
        <v>16397</v>
      </c>
      <c r="N249" s="453" t="s">
        <v>15542</v>
      </c>
      <c r="O249" s="453" t="s">
        <v>16398</v>
      </c>
      <c r="P249" s="454" t="s">
        <v>499</v>
      </c>
      <c r="Q249" s="455" t="s">
        <v>15513</v>
      </c>
      <c r="R249" s="217" t="str">
        <f ca="1">IF(ISERROR($V249),"",OFFSET('Smelter Look-up'!$C$4,$V249-4,0)&amp;"")</f>
        <v>H.C. Starck Smelting GmbH &amp; Co. KG</v>
      </c>
      <c r="S249" s="225" t="str">
        <f t="shared" ca="1" si="33"/>
        <v>DE</v>
      </c>
      <c r="T249" s="225" t="str">
        <f ca="1">IF(B249="","",IF(ISERROR(MATCH($J249,SorP!$B$1:$B$6230,0)),"",INDIRECT("'SorP'!$A$"&amp;MATCH($J249,SorP!$B$1:$B$6230,0))))</f>
        <v>DE-BW</v>
      </c>
      <c r="U249" s="241"/>
      <c r="V249" s="275">
        <f>IF(C249="",NA(),MATCH($B249&amp;$C249,'Smelter Look-up'!$J:$J,0))</f>
        <v>311</v>
      </c>
      <c r="W249" s="276"/>
      <c r="X249" s="276">
        <f t="shared" si="34"/>
        <v>0</v>
      </c>
      <c r="Y249" s="276"/>
      <c r="Z249" s="276"/>
      <c r="AB249" s="278" t="str">
        <f t="shared" si="35"/>
        <v>TantalumH.C. Starck Smelting GmbH &amp; Co. KG</v>
      </c>
    </row>
    <row r="250" spans="1:28" s="277" customFormat="1" ht="24.75">
      <c r="A250" s="216" t="s">
        <v>1454</v>
      </c>
      <c r="B250" s="217" t="s">
        <v>1156</v>
      </c>
      <c r="C250" s="450" t="s">
        <v>1453</v>
      </c>
      <c r="D250" s="217"/>
      <c r="E250" s="217" t="s">
        <v>1123</v>
      </c>
      <c r="F250" s="217" t="s">
        <v>1454</v>
      </c>
      <c r="G250" s="217" t="s">
        <v>13577</v>
      </c>
      <c r="H250" s="451" t="s">
        <v>16399</v>
      </c>
      <c r="I250" s="452" t="s">
        <v>1812</v>
      </c>
      <c r="J250" s="452" t="s">
        <v>15601</v>
      </c>
      <c r="K250" s="453" t="s">
        <v>16377</v>
      </c>
      <c r="L250" s="453" t="s">
        <v>16378</v>
      </c>
      <c r="M250" s="453" t="s">
        <v>16272</v>
      </c>
      <c r="N250" s="453" t="s">
        <v>15511</v>
      </c>
      <c r="O250" s="453" t="s">
        <v>15807</v>
      </c>
      <c r="P250" s="454" t="s">
        <v>499</v>
      </c>
      <c r="Q250" s="455" t="s">
        <v>15513</v>
      </c>
      <c r="R250" s="217" t="str">
        <f ca="1">IF(ISERROR($V250),"",OFFSET('Smelter Look-up'!$C$4,$V250-4,0)&amp;"")</f>
        <v>Jiangwu H.C. Starck Tungsten Products Co., Ltd.</v>
      </c>
      <c r="S250" s="225" t="str">
        <f t="shared" ca="1" si="33"/>
        <v>CN</v>
      </c>
      <c r="T250" s="225" t="str">
        <f ca="1">IF(B250="","",IF(ISERROR(MATCH($J250,SorP!$B$1:$B$6230,0)),"",INDIRECT("'SorP'!$A$"&amp;MATCH($J250,SorP!$B$1:$B$6230,0))))</f>
        <v/>
      </c>
      <c r="U250" s="241"/>
      <c r="V250" s="275">
        <f>IF(C250="",NA(),MATCH($B250&amp;$C250,'Smelter Look-up'!$J:$J,0))</f>
        <v>526</v>
      </c>
      <c r="W250" s="276"/>
      <c r="X250" s="276">
        <f t="shared" si="34"/>
        <v>0</v>
      </c>
      <c r="Y250" s="276"/>
      <c r="Z250" s="276"/>
      <c r="AB250" s="278" t="str">
        <f t="shared" si="35"/>
        <v>TungstenJiangwu H.C. Starck Tungsten Products Co., Ltd.</v>
      </c>
    </row>
    <row r="251" spans="1:28" s="277" customFormat="1" ht="49.5">
      <c r="A251" s="216" t="s">
        <v>1437</v>
      </c>
      <c r="B251" s="217" t="s">
        <v>1155</v>
      </c>
      <c r="C251" s="450" t="s">
        <v>1436</v>
      </c>
      <c r="D251" s="217"/>
      <c r="E251" s="217" t="s">
        <v>2576</v>
      </c>
      <c r="F251" s="217" t="s">
        <v>1437</v>
      </c>
      <c r="G251" s="217" t="s">
        <v>13577</v>
      </c>
      <c r="H251" s="451" t="s">
        <v>16400</v>
      </c>
      <c r="I251" s="452" t="s">
        <v>1792</v>
      </c>
      <c r="J251" s="452" t="s">
        <v>1774</v>
      </c>
      <c r="K251" s="453" t="s">
        <v>16401</v>
      </c>
      <c r="L251" s="453" t="s">
        <v>16402</v>
      </c>
      <c r="M251" s="453" t="s">
        <v>15554</v>
      </c>
      <c r="N251" s="453" t="s">
        <v>16403</v>
      </c>
      <c r="O251" s="453" t="s">
        <v>16404</v>
      </c>
      <c r="P251" s="454" t="s">
        <v>499</v>
      </c>
      <c r="Q251" s="455" t="s">
        <v>15513</v>
      </c>
      <c r="R251" s="217" t="str">
        <f ca="1">IF(ISERROR($V251),"",OFFSET('Smelter Look-up'!$C$4,$V251-4,0)&amp;"")</f>
        <v>Global Advanced Metals Boyertown</v>
      </c>
      <c r="S251" s="225" t="str">
        <f t="shared" ca="1" si="33"/>
        <v>US</v>
      </c>
      <c r="T251" s="225" t="str">
        <f ca="1">IF(B251="","",IF(ISERROR(MATCH($J251,SorP!$B$1:$B$6230,0)),"",INDIRECT("'SorP'!$A$"&amp;MATCH($J251,SorP!$B$1:$B$6230,0))))</f>
        <v>US-PA</v>
      </c>
      <c r="U251" s="241"/>
      <c r="V251" s="275">
        <f>IF(C251="",NA(),MATCH($B251&amp;$C251,'Smelter Look-up'!$J:$J,0))</f>
        <v>305</v>
      </c>
      <c r="W251" s="276"/>
      <c r="X251" s="276">
        <f t="shared" si="34"/>
        <v>0</v>
      </c>
      <c r="Y251" s="276"/>
      <c r="Z251" s="276"/>
      <c r="AB251" s="278" t="str">
        <f t="shared" si="35"/>
        <v>TantalumGlobal Advanced Metals Boyertown</v>
      </c>
    </row>
    <row r="252" spans="1:28" s="277" customFormat="1" ht="37.15">
      <c r="A252" s="216" t="s">
        <v>1435</v>
      </c>
      <c r="B252" s="217" t="s">
        <v>1155</v>
      </c>
      <c r="C252" s="450" t="s">
        <v>1434</v>
      </c>
      <c r="D252" s="217"/>
      <c r="E252" s="217" t="s">
        <v>1131</v>
      </c>
      <c r="F252" s="217" t="s">
        <v>1435</v>
      </c>
      <c r="G252" s="217" t="s">
        <v>13577</v>
      </c>
      <c r="H252" s="451" t="s">
        <v>16405</v>
      </c>
      <c r="I252" s="452" t="s">
        <v>1793</v>
      </c>
      <c r="J252" s="452" t="s">
        <v>1584</v>
      </c>
      <c r="K252" s="453" t="s">
        <v>16401</v>
      </c>
      <c r="L252" s="453" t="s">
        <v>16402</v>
      </c>
      <c r="M252" s="453" t="s">
        <v>15554</v>
      </c>
      <c r="N252" s="453" t="s">
        <v>16406</v>
      </c>
      <c r="O252" s="453" t="s">
        <v>16407</v>
      </c>
      <c r="P252" s="454" t="s">
        <v>499</v>
      </c>
      <c r="Q252" s="455" t="s">
        <v>15513</v>
      </c>
      <c r="R252" s="217" t="str">
        <f ca="1">IF(ISERROR($V252),"",OFFSET('Smelter Look-up'!$C$4,$V252-4,0)&amp;"")</f>
        <v>Global Advanced Metals Aizu</v>
      </c>
      <c r="S252" s="225" t="str">
        <f t="shared" ca="1" si="33"/>
        <v>JP</v>
      </c>
      <c r="T252" s="225" t="str">
        <f ca="1">IF(B252="","",IF(ISERROR(MATCH($J252,SorP!$B$1:$B$6230,0)),"",INDIRECT("'SorP'!$A$"&amp;MATCH($J252,SorP!$B$1:$B$6230,0))))</f>
        <v>JP-07</v>
      </c>
      <c r="U252" s="241"/>
      <c r="V252" s="275">
        <f>IF(C252="",NA(),MATCH($B252&amp;$C252,'Smelter Look-up'!$J:$J,0))</f>
        <v>304</v>
      </c>
      <c r="W252" s="276"/>
      <c r="X252" s="276">
        <f t="shared" si="34"/>
        <v>0</v>
      </c>
      <c r="Y252" s="276"/>
      <c r="Z252" s="276"/>
      <c r="AB252" s="278" t="str">
        <f t="shared" si="35"/>
        <v>TantalumGlobal Advanced Metals Aizu</v>
      </c>
    </row>
    <row r="253" spans="1:28" s="277" customFormat="1" ht="49.5">
      <c r="A253" s="216" t="s">
        <v>1738</v>
      </c>
      <c r="B253" s="217" t="s">
        <v>1153</v>
      </c>
      <c r="C253" s="450" t="s">
        <v>2635</v>
      </c>
      <c r="D253" s="217"/>
      <c r="E253" s="217" t="s">
        <v>1115</v>
      </c>
      <c r="F253" s="217" t="s">
        <v>1738</v>
      </c>
      <c r="G253" s="217" t="s">
        <v>13577</v>
      </c>
      <c r="H253" s="451" t="s">
        <v>16408</v>
      </c>
      <c r="I253" s="452" t="s">
        <v>1739</v>
      </c>
      <c r="J253" s="452" t="s">
        <v>2725</v>
      </c>
      <c r="K253" s="453" t="s">
        <v>16409</v>
      </c>
      <c r="L253" s="453" t="s">
        <v>16410</v>
      </c>
      <c r="M253" s="453" t="s">
        <v>16411</v>
      </c>
      <c r="N253" s="453" t="s">
        <v>15542</v>
      </c>
      <c r="O253" s="453" t="s">
        <v>16412</v>
      </c>
      <c r="P253" s="454" t="s">
        <v>499</v>
      </c>
      <c r="Q253" s="455" t="s">
        <v>15520</v>
      </c>
      <c r="R253" s="217" t="str">
        <f ca="1">IF(ISERROR($V253),"",OFFSET('Smelter Look-up'!$C$4,$V253-4,0)&amp;"")</f>
        <v>Al Etihad Gold Refinery DMCC</v>
      </c>
      <c r="S253" s="225" t="str">
        <f t="shared" ca="1" si="33"/>
        <v>AE</v>
      </c>
      <c r="T253" s="225" t="str">
        <f ca="1">IF(B253="","",IF(ISERROR(MATCH($J253,SorP!$B$1:$B$6230,0)),"",INDIRECT("'SorP'!$A$"&amp;MATCH($J253,SorP!$B$1:$B$6230,0))))</f>
        <v>AE-DU</v>
      </c>
      <c r="U253" s="241"/>
      <c r="V253" s="275">
        <f>IF(C253="",NA(),MATCH($B253&amp;$C253,'Smelter Look-up'!$J:$J,0))</f>
        <v>12</v>
      </c>
      <c r="W253" s="276"/>
      <c r="X253" s="276">
        <f t="shared" si="34"/>
        <v>0</v>
      </c>
      <c r="Y253" s="276"/>
      <c r="Z253" s="276"/>
      <c r="AB253" s="278" t="str">
        <f t="shared" si="35"/>
        <v>GoldAl Etihad Gold LLC</v>
      </c>
    </row>
    <row r="254" spans="1:28" s="277" customFormat="1" ht="61.9">
      <c r="A254" s="216" t="s">
        <v>1741</v>
      </c>
      <c r="B254" s="217" t="s">
        <v>1153</v>
      </c>
      <c r="C254" s="450" t="s">
        <v>1740</v>
      </c>
      <c r="D254" s="217"/>
      <c r="E254" s="217" t="s">
        <v>1115</v>
      </c>
      <c r="F254" s="217" t="s">
        <v>1741</v>
      </c>
      <c r="G254" s="217" t="s">
        <v>13577</v>
      </c>
      <c r="H254" s="451" t="s">
        <v>16413</v>
      </c>
      <c r="I254" s="452" t="s">
        <v>1739</v>
      </c>
      <c r="J254" s="452" t="s">
        <v>2725</v>
      </c>
      <c r="K254" s="453" t="s">
        <v>16414</v>
      </c>
      <c r="L254" s="453" t="s">
        <v>16415</v>
      </c>
      <c r="M254" s="453"/>
      <c r="N254" s="453" t="s">
        <v>15511</v>
      </c>
      <c r="O254" s="453" t="s">
        <v>15533</v>
      </c>
      <c r="P254" s="454"/>
      <c r="Q254" s="455" t="s">
        <v>15520</v>
      </c>
      <c r="R254" s="217" t="str">
        <f ca="1">IF(ISERROR($V254),"",OFFSET('Smelter Look-up'!$C$4,$V254-4,0)&amp;"")</f>
        <v>Emirates Gold DMCC</v>
      </c>
      <c r="S254" s="225" t="str">
        <f t="shared" ca="1" si="33"/>
        <v>AE</v>
      </c>
      <c r="T254" s="225" t="str">
        <f ca="1">IF(B254="","",IF(ISERROR(MATCH($J254,SorP!$B$1:$B$6230,0)),"",INDIRECT("'SorP'!$A$"&amp;MATCH($J254,SorP!$B$1:$B$6230,0))))</f>
        <v>AE-DU</v>
      </c>
      <c r="U254" s="241"/>
      <c r="V254" s="275">
        <f>IF(C254="",NA(),MATCH($B254&amp;$C254,'Smelter Look-up'!$J:$J,0))</f>
        <v>73</v>
      </c>
      <c r="W254" s="276"/>
      <c r="X254" s="276">
        <f t="shared" si="34"/>
        <v>0</v>
      </c>
      <c r="Y254" s="276"/>
      <c r="Z254" s="276"/>
      <c r="AB254" s="278" t="str">
        <f t="shared" si="35"/>
        <v>GoldEmirates Gold DMCC</v>
      </c>
    </row>
    <row r="255" spans="1:28" s="277" customFormat="1" ht="20.25">
      <c r="A255" s="216" t="s">
        <v>1743</v>
      </c>
      <c r="B255" s="217" t="s">
        <v>1153</v>
      </c>
      <c r="C255" s="450" t="s">
        <v>1742</v>
      </c>
      <c r="D255" s="217"/>
      <c r="E255" s="217" t="s">
        <v>1115</v>
      </c>
      <c r="F255" s="217" t="s">
        <v>1743</v>
      </c>
      <c r="G255" s="217" t="s">
        <v>13577</v>
      </c>
      <c r="H255" s="451">
        <v>0</v>
      </c>
      <c r="I255" s="452" t="s">
        <v>1739</v>
      </c>
      <c r="J255" s="452" t="s">
        <v>2725</v>
      </c>
      <c r="K255" s="453"/>
      <c r="L255" s="453"/>
      <c r="M255" s="453"/>
      <c r="N255" s="453"/>
      <c r="O255" s="453"/>
      <c r="P255" s="454"/>
      <c r="Q255" s="455"/>
      <c r="R255" s="217" t="str">
        <f ca="1">IF(ISERROR($V255),"",OFFSET('Smelter Look-up'!$C$4,$V255-4,0)&amp;"")</f>
        <v>Kaloti Precious Metals</v>
      </c>
      <c r="S255" s="225" t="str">
        <f t="shared" ca="1" si="33"/>
        <v>AE</v>
      </c>
      <c r="T255" s="225" t="str">
        <f ca="1">IF(B255="","",IF(ISERROR(MATCH($J255,SorP!$B$1:$B$6230,0)),"",INDIRECT("'SorP'!$A$"&amp;MATCH($J255,SorP!$B$1:$B$6230,0))))</f>
        <v>AE-DU</v>
      </c>
      <c r="U255" s="241"/>
      <c r="V255" s="275">
        <f>IF(C255="",NA(),MATCH($B255&amp;$C255,'Smelter Look-up'!$J:$J,0))</f>
        <v>121</v>
      </c>
      <c r="W255" s="276"/>
      <c r="X255" s="276">
        <f t="shared" si="34"/>
        <v>0</v>
      </c>
      <c r="Y255" s="276"/>
      <c r="Z255" s="276"/>
      <c r="AB255" s="278" t="str">
        <f t="shared" si="35"/>
        <v>GoldKaloti Precious Metals</v>
      </c>
    </row>
    <row r="256" spans="1:28" s="277" customFormat="1" ht="20.25">
      <c r="A256" s="216" t="s">
        <v>1745</v>
      </c>
      <c r="B256" s="217" t="s">
        <v>1153</v>
      </c>
      <c r="C256" s="450" t="s">
        <v>1744</v>
      </c>
      <c r="D256" s="217"/>
      <c r="E256" s="217" t="s">
        <v>908</v>
      </c>
      <c r="F256" s="217" t="s">
        <v>1745</v>
      </c>
      <c r="G256" s="217" t="s">
        <v>13577</v>
      </c>
      <c r="H256" s="451">
        <v>0</v>
      </c>
      <c r="I256" s="452" t="s">
        <v>1746</v>
      </c>
      <c r="J256" s="452" t="s">
        <v>1746</v>
      </c>
      <c r="K256" s="453"/>
      <c r="L256" s="453"/>
      <c r="M256" s="453"/>
      <c r="N256" s="453"/>
      <c r="O256" s="453"/>
      <c r="P256" s="454"/>
      <c r="Q256" s="455"/>
      <c r="R256" s="217" t="str">
        <f ca="1">IF(ISERROR($V256),"",OFFSET('Smelter Look-up'!$C$4,$V256-4,0)&amp;"")</f>
        <v>Sudan Gold Refinery</v>
      </c>
      <c r="S256" s="225" t="str">
        <f t="shared" ca="1" si="33"/>
        <v>SD</v>
      </c>
      <c r="T256" s="225" t="str">
        <f ca="1">IF(B256="","",IF(ISERROR(MATCH($J256,SorP!$B$1:$B$6230,0)),"",INDIRECT("'SorP'!$A$"&amp;MATCH($J256,SorP!$B$1:$B$6230,0))))</f>
        <v>SD-KH</v>
      </c>
      <c r="U256" s="241"/>
      <c r="V256" s="275">
        <f>IF(C256="",NA(),MATCH($B256&amp;$C256,'Smelter Look-up'!$J:$J,0))</f>
        <v>238</v>
      </c>
      <c r="W256" s="276"/>
      <c r="X256" s="276">
        <f t="shared" si="34"/>
        <v>0</v>
      </c>
      <c r="Y256" s="276"/>
      <c r="Z256" s="276"/>
      <c r="AB256" s="278" t="str">
        <f t="shared" si="35"/>
        <v>GoldSudan Gold Refinery</v>
      </c>
    </row>
    <row r="257" spans="1:28" s="277" customFormat="1" ht="24.75">
      <c r="A257" s="216" t="s">
        <v>16416</v>
      </c>
      <c r="B257" s="217" t="s">
        <v>1155</v>
      </c>
      <c r="C257" s="450" t="s">
        <v>16417</v>
      </c>
      <c r="D257" s="217"/>
      <c r="E257" s="217" t="s">
        <v>2576</v>
      </c>
      <c r="F257" s="217" t="s">
        <v>16416</v>
      </c>
      <c r="G257" s="217" t="s">
        <v>13577</v>
      </c>
      <c r="H257" s="451" t="s">
        <v>16418</v>
      </c>
      <c r="I257" s="452" t="s">
        <v>16419</v>
      </c>
      <c r="J257" s="452" t="s">
        <v>1794</v>
      </c>
      <c r="K257" s="453" t="s">
        <v>16373</v>
      </c>
      <c r="L257" s="453" t="s">
        <v>16374</v>
      </c>
      <c r="M257" s="453" t="s">
        <v>16165</v>
      </c>
      <c r="N257" s="453" t="s">
        <v>15542</v>
      </c>
      <c r="O257" s="453" t="s">
        <v>15807</v>
      </c>
      <c r="P257" s="454" t="s">
        <v>499</v>
      </c>
      <c r="Q257" s="455" t="s">
        <v>15520</v>
      </c>
      <c r="R257" s="217" t="str">
        <f ca="1">IF(ISERROR($V257),"",OFFSET('Smelter Look-up'!$C$4,$V257-4,0)&amp;"")</f>
        <v/>
      </c>
      <c r="S257" s="225" t="str">
        <f t="shared" ca="1" si="33"/>
        <v>US</v>
      </c>
      <c r="T257" s="225" t="str">
        <f ca="1">IF(B257="","",IF(ISERROR(MATCH($J257,SorP!$B$1:$B$6230,0)),"",INDIRECT("'SorP'!$A$"&amp;MATCH($J257,SorP!$B$1:$B$6230,0))))</f>
        <v>US-NV</v>
      </c>
      <c r="U257" s="241"/>
      <c r="V257" s="275" t="e">
        <f>IF(C257="",NA(),MATCH($B257&amp;$C257,'Smelter Look-up'!$J:$J,0))</f>
        <v>#N/A</v>
      </c>
      <c r="W257" s="276"/>
      <c r="X257" s="276">
        <f t="shared" si="34"/>
        <v>0</v>
      </c>
      <c r="Y257" s="276"/>
      <c r="Z257" s="276"/>
      <c r="AB257" s="278" t="str">
        <f t="shared" si="35"/>
        <v>TantalumKEMET Blue Powder</v>
      </c>
    </row>
    <row r="258" spans="1:28" s="277" customFormat="1" ht="49.5">
      <c r="A258" s="216" t="s">
        <v>16420</v>
      </c>
      <c r="B258" s="217" t="s">
        <v>1154</v>
      </c>
      <c r="C258" s="450" t="s">
        <v>16421</v>
      </c>
      <c r="D258" s="217"/>
      <c r="E258" s="217" t="s">
        <v>1128</v>
      </c>
      <c r="F258" s="217" t="s">
        <v>16420</v>
      </c>
      <c r="G258" s="217" t="s">
        <v>13577</v>
      </c>
      <c r="H258" s="451" t="s">
        <v>16422</v>
      </c>
      <c r="I258" s="452" t="s">
        <v>1805</v>
      </c>
      <c r="J258" s="452" t="s">
        <v>13183</v>
      </c>
      <c r="K258" s="453" t="s">
        <v>16423</v>
      </c>
      <c r="L258" s="453" t="s">
        <v>16424</v>
      </c>
      <c r="M258" s="453" t="s">
        <v>16425</v>
      </c>
      <c r="N258" s="453" t="s">
        <v>15511</v>
      </c>
      <c r="O258" s="453" t="s">
        <v>15807</v>
      </c>
      <c r="P258" s="454" t="s">
        <v>499</v>
      </c>
      <c r="Q258" s="455" t="s">
        <v>15513</v>
      </c>
      <c r="R258" s="217" t="str">
        <f ca="1">IF(ISERROR($V258),"",OFFSET('Smelter Look-up'!$C$4,$V258-4,0)&amp;"")</f>
        <v/>
      </c>
      <c r="S258" s="225" t="str">
        <f t="shared" ca="1" si="33"/>
        <v>ID</v>
      </c>
      <c r="T258" s="225" t="str">
        <f ca="1">IF(B258="","",IF(ISERROR(MATCH($J258,SorP!$B$1:$B$6230,0)),"",INDIRECT("'SorP'!$A$"&amp;MATCH($J258,SorP!$B$1:$B$6230,0))))</f>
        <v>ID-BB</v>
      </c>
      <c r="U258" s="241"/>
      <c r="V258" s="275" t="e">
        <f>IF(C258="",NA(),MATCH($B258&amp;$C258,'Smelter Look-up'!$J:$J,0))</f>
        <v>#N/A</v>
      </c>
      <c r="W258" s="276"/>
      <c r="X258" s="276">
        <f t="shared" si="34"/>
        <v>0</v>
      </c>
      <c r="Y258" s="276"/>
      <c r="Z258" s="276"/>
      <c r="AB258" s="278" t="str">
        <f t="shared" si="35"/>
        <v>TinCV Ayi Jaya</v>
      </c>
    </row>
    <row r="259" spans="1:28" s="277" customFormat="1" ht="24.75">
      <c r="A259" s="216" t="s">
        <v>1847</v>
      </c>
      <c r="B259" s="217" t="s">
        <v>1154</v>
      </c>
      <c r="C259" s="450" t="s">
        <v>1846</v>
      </c>
      <c r="D259" s="217"/>
      <c r="E259" s="217" t="s">
        <v>915</v>
      </c>
      <c r="F259" s="217" t="s">
        <v>1847</v>
      </c>
      <c r="G259" s="217" t="s">
        <v>13577</v>
      </c>
      <c r="H259" s="451" t="s">
        <v>14249</v>
      </c>
      <c r="I259" s="452" t="s">
        <v>1848</v>
      </c>
      <c r="J259" s="452" t="s">
        <v>12503</v>
      </c>
      <c r="K259" s="453" t="s">
        <v>14249</v>
      </c>
      <c r="L259" s="453" t="s">
        <v>14249</v>
      </c>
      <c r="M259" s="453" t="s">
        <v>14249</v>
      </c>
      <c r="N259" s="453" t="s">
        <v>14249</v>
      </c>
      <c r="O259" s="453" t="s">
        <v>14249</v>
      </c>
      <c r="P259" s="454" t="s">
        <v>14249</v>
      </c>
      <c r="Q259" s="455" t="s">
        <v>14249</v>
      </c>
      <c r="R259" s="217" t="str">
        <f ca="1">IF(ISERROR($V259),"",OFFSET('Smelter Look-up'!$C$4,$V259-4,0)&amp;"")</f>
        <v>Electro-Mechanical Facility of the Cao Bang Minerals &amp; Metallurgy Joint Stock Company</v>
      </c>
      <c r="S259" s="225" t="str">
        <f t="shared" ca="1" si="33"/>
        <v>VN</v>
      </c>
      <c r="T259" s="225" t="str">
        <f ca="1">IF(B259="","",IF(ISERROR(MATCH($J259,SorP!$B$1:$B$6230,0)),"",INDIRECT("'SorP'!$A$"&amp;MATCH($J259,SorP!$B$1:$B$6230,0))))</f>
        <v>VN-04</v>
      </c>
      <c r="U259" s="241"/>
      <c r="V259" s="275">
        <f>IF(C259="",NA(),MATCH($B259&amp;$C259,'Smelter Look-up'!$J:$J,0))</f>
        <v>376</v>
      </c>
      <c r="W259" s="276"/>
      <c r="X259" s="276">
        <f t="shared" si="34"/>
        <v>0</v>
      </c>
      <c r="Y259" s="276"/>
      <c r="Z259" s="276"/>
      <c r="AB259" s="278" t="str">
        <f t="shared" si="35"/>
        <v>TinElectro-Mechanical Facility of the Cao Bang Minerals &amp; Metallurgy Joint Stock Company</v>
      </c>
    </row>
    <row r="260" spans="1:28" s="277" customFormat="1" ht="24.75">
      <c r="A260" s="216" t="s">
        <v>1850</v>
      </c>
      <c r="B260" s="217" t="s">
        <v>1154</v>
      </c>
      <c r="C260" s="450" t="s">
        <v>1849</v>
      </c>
      <c r="D260" s="217"/>
      <c r="E260" s="217" t="s">
        <v>915</v>
      </c>
      <c r="F260" s="217" t="s">
        <v>1850</v>
      </c>
      <c r="G260" s="217" t="s">
        <v>13577</v>
      </c>
      <c r="H260" s="451" t="s">
        <v>14249</v>
      </c>
      <c r="I260" s="452" t="s">
        <v>1851</v>
      </c>
      <c r="J260" s="452" t="s">
        <v>12453</v>
      </c>
      <c r="K260" s="453" t="s">
        <v>14249</v>
      </c>
      <c r="L260" s="453" t="s">
        <v>14249</v>
      </c>
      <c r="M260" s="453" t="s">
        <v>14249</v>
      </c>
      <c r="N260" s="453" t="s">
        <v>14249</v>
      </c>
      <c r="O260" s="453" t="s">
        <v>14249</v>
      </c>
      <c r="P260" s="454" t="s">
        <v>14249</v>
      </c>
      <c r="Q260" s="455" t="s">
        <v>14249</v>
      </c>
      <c r="R260" s="217" t="str">
        <f ca="1">IF(ISERROR($V260),"",OFFSET('Smelter Look-up'!$C$4,$V260-4,0)&amp;"")</f>
        <v>Nghe Tinh Non-Ferrous Metals Joint Stock Company</v>
      </c>
      <c r="S260" s="225" t="str">
        <f t="shared" ca="1" si="33"/>
        <v>VN</v>
      </c>
      <c r="T260" s="225" t="str">
        <f ca="1">IF(B260="","",IF(ISERROR(MATCH($J260,SorP!$B$1:$B$6230,0)),"",INDIRECT("'SorP'!$A$"&amp;MATCH($J260,SorP!$B$1:$B$6230,0))))</f>
        <v>VN-22</v>
      </c>
      <c r="U260" s="241"/>
      <c r="V260" s="275">
        <f>IF(C260="",NA(),MATCH($B260&amp;$C260,'Smelter Look-up'!$J:$J,0))</f>
        <v>430</v>
      </c>
      <c r="W260" s="276"/>
      <c r="X260" s="276">
        <f t="shared" si="34"/>
        <v>0</v>
      </c>
      <c r="Y260" s="276"/>
      <c r="Z260" s="276"/>
      <c r="AB260" s="278" t="str">
        <f t="shared" si="35"/>
        <v>TinNghe Tinh Non-Ferrous Metals Joint Stock Company</v>
      </c>
    </row>
    <row r="261" spans="1:28" s="277" customFormat="1" ht="24.75">
      <c r="A261" s="216" t="s">
        <v>1853</v>
      </c>
      <c r="B261" s="217" t="s">
        <v>1154</v>
      </c>
      <c r="C261" s="450" t="s">
        <v>1852</v>
      </c>
      <c r="D261" s="217"/>
      <c r="E261" s="217" t="s">
        <v>915</v>
      </c>
      <c r="F261" s="217" t="s">
        <v>1853</v>
      </c>
      <c r="G261" s="217" t="s">
        <v>13577</v>
      </c>
      <c r="H261" s="451" t="s">
        <v>14249</v>
      </c>
      <c r="I261" s="452" t="s">
        <v>1854</v>
      </c>
      <c r="J261" s="452" t="s">
        <v>12481</v>
      </c>
      <c r="K261" s="453" t="s">
        <v>14249</v>
      </c>
      <c r="L261" s="453" t="s">
        <v>14249</v>
      </c>
      <c r="M261" s="453" t="s">
        <v>14249</v>
      </c>
      <c r="N261" s="453" t="s">
        <v>14249</v>
      </c>
      <c r="O261" s="453" t="s">
        <v>14249</v>
      </c>
      <c r="P261" s="454" t="s">
        <v>14249</v>
      </c>
      <c r="Q261" s="455" t="s">
        <v>14249</v>
      </c>
      <c r="R261" s="217" t="str">
        <f ca="1">IF(ISERROR($V261),"",OFFSET('Smelter Look-up'!$C$4,$V261-4,0)&amp;"")</f>
        <v>Tuyen Quang Non-Ferrous Metals Joint Stock Company</v>
      </c>
      <c r="S261" s="225" t="str">
        <f t="shared" ref="S261" ca="1" si="36">IF(B261="","",IF(ISERROR(MATCH($E261,CL,0)),"Unknown",INDIRECT("'C'!$A$"&amp;MATCH($E261,CL,0)+1)))</f>
        <v>VN</v>
      </c>
      <c r="T261" s="225" t="str">
        <f ca="1">IF(B261="","",IF(ISERROR(MATCH($J261,SorP!$B$1:$B$6230,0)),"",INDIRECT("'SorP'!$A$"&amp;MATCH($J261,SorP!$B$1:$B$6230,0))))</f>
        <v>VN-07</v>
      </c>
      <c r="U261" s="241"/>
      <c r="V261" s="275">
        <f>IF(C261="",NA(),MATCH($B261&amp;$C261,'Smelter Look-up'!$J:$J,0))</f>
        <v>463</v>
      </c>
      <c r="W261" s="276"/>
      <c r="X261" s="276">
        <f t="shared" ref="X261" si="37">IF(AND(C261="Smelter not listed",OR(LEN(D261)=0,LEN(E261)=0)),1,0)</f>
        <v>0</v>
      </c>
      <c r="Y261" s="276"/>
      <c r="Z261" s="276"/>
      <c r="AB261" s="278" t="str">
        <f t="shared" ref="AB261" si="38">B261&amp;C261</f>
        <v>TinTuyen Quang Non-Ferrous Metals Joint Stock Company</v>
      </c>
    </row>
    <row r="262" spans="1:28" s="277" customFormat="1" ht="24.75">
      <c r="A262" s="216" t="s">
        <v>1887</v>
      </c>
      <c r="B262" s="217" t="s">
        <v>1156</v>
      </c>
      <c r="C262" s="450" t="s">
        <v>1886</v>
      </c>
      <c r="D262" s="217"/>
      <c r="E262" s="217" t="s">
        <v>1123</v>
      </c>
      <c r="F262" s="217" t="s">
        <v>1887</v>
      </c>
      <c r="G262" s="217" t="s">
        <v>13577</v>
      </c>
      <c r="H262" s="451" t="s">
        <v>16426</v>
      </c>
      <c r="I262" s="452" t="s">
        <v>1777</v>
      </c>
      <c r="J262" s="452" t="s">
        <v>15580</v>
      </c>
      <c r="K262" s="453" t="s">
        <v>16427</v>
      </c>
      <c r="L262" s="453" t="s">
        <v>16428</v>
      </c>
      <c r="M262" s="453" t="s">
        <v>16325</v>
      </c>
      <c r="N262" s="453" t="s">
        <v>15511</v>
      </c>
      <c r="O262" s="453" t="s">
        <v>15807</v>
      </c>
      <c r="P262" s="454" t="s">
        <v>499</v>
      </c>
      <c r="Q262" s="455" t="s">
        <v>15513</v>
      </c>
      <c r="R262" s="217" t="str">
        <f ca="1">IF(ISERROR($V262),"",OFFSET('Smelter Look-up'!$C$4,$V262-4,0)&amp;"")</f>
        <v>Hunan Chuangda Vanadium Tungsten Co., Ltd. Wuji</v>
      </c>
      <c r="S262" s="225" t="str">
        <f t="shared" ref="S262:S293" ca="1" si="39">IF(B262="","",IF(ISERROR(MATCH($E262,CL,0)),"Unknown",INDIRECT("'C'!$A$"&amp;MATCH($E262,CL,0)+1)))</f>
        <v>CN</v>
      </c>
      <c r="T262" s="225" t="str">
        <f ca="1">IF(B262="","",IF(ISERROR(MATCH($J262,SorP!$B$1:$B$6230,0)),"",INDIRECT("'SorP'!$A$"&amp;MATCH($J262,SorP!$B$1:$B$6230,0))))</f>
        <v/>
      </c>
      <c r="U262" s="241"/>
      <c r="V262" s="275">
        <f>IF(C262="",NA(),MATCH($B262&amp;$C262,'Smelter Look-up'!$J:$J,0))</f>
        <v>521</v>
      </c>
      <c r="W262" s="276"/>
      <c r="X262" s="276">
        <f t="shared" ref="X262:X293" si="40">IF(AND(C262="Smelter not listed",OR(LEN(D262)=0,LEN(E262)=0)),1,0)</f>
        <v>0</v>
      </c>
      <c r="Y262" s="276"/>
      <c r="Z262" s="276"/>
      <c r="AB262" s="278" t="str">
        <f t="shared" ref="AB262:AB293" si="41">B262&amp;C262</f>
        <v>TungstenHunan Chuangda Vanadium Tungsten Co., Ltd. Wuji</v>
      </c>
    </row>
    <row r="263" spans="1:28" s="277" customFormat="1" ht="20.25">
      <c r="A263" s="216" t="s">
        <v>1747</v>
      </c>
      <c r="B263" s="217" t="s">
        <v>1153</v>
      </c>
      <c r="C263" s="450" t="s">
        <v>2327</v>
      </c>
      <c r="D263" s="217"/>
      <c r="E263" s="217" t="s">
        <v>1130</v>
      </c>
      <c r="F263" s="217" t="s">
        <v>1747</v>
      </c>
      <c r="G263" s="217" t="s">
        <v>13577</v>
      </c>
      <c r="H263" s="451" t="s">
        <v>16429</v>
      </c>
      <c r="I263" s="452" t="s">
        <v>1748</v>
      </c>
      <c r="J263" s="452" t="s">
        <v>6691</v>
      </c>
      <c r="K263" s="453" t="s">
        <v>14249</v>
      </c>
      <c r="L263" s="453" t="s">
        <v>16430</v>
      </c>
      <c r="M263" s="453" t="s">
        <v>15565</v>
      </c>
      <c r="N263" s="453" t="s">
        <v>15511</v>
      </c>
      <c r="O263" s="453" t="s">
        <v>15533</v>
      </c>
      <c r="P263" s="454"/>
      <c r="Q263" s="455" t="s">
        <v>15520</v>
      </c>
      <c r="R263" s="217" t="str">
        <f ca="1">IF(ISERROR($V263),"",OFFSET('Smelter Look-up'!$C$4,$V263-4,0)&amp;"")</f>
        <v>T.C.A S.p.A</v>
      </c>
      <c r="S263" s="225" t="str">
        <f t="shared" ca="1" si="39"/>
        <v>IT</v>
      </c>
      <c r="T263" s="225" t="str">
        <f ca="1">IF(B263="","",IF(ISERROR(MATCH($J263,SorP!$B$1:$B$6230,0)),"",INDIRECT("'SorP'!$A$"&amp;MATCH($J263,SorP!$B$1:$B$6230,0))))</f>
        <v>IT-52</v>
      </c>
      <c r="U263" s="241"/>
      <c r="V263" s="275">
        <f>IF(C263="",NA(),MATCH($B263&amp;$C263,'Smelter Look-up'!$J:$J,0))</f>
        <v>243</v>
      </c>
      <c r="W263" s="276"/>
      <c r="X263" s="276">
        <f t="shared" si="40"/>
        <v>0</v>
      </c>
      <c r="Y263" s="276"/>
      <c r="Z263" s="276"/>
      <c r="AB263" s="278" t="str">
        <f t="shared" si="41"/>
        <v>GoldT.C.A S.p.A</v>
      </c>
    </row>
    <row r="264" spans="1:28" s="277" customFormat="1" ht="24.75">
      <c r="A264" s="480" t="s">
        <v>2442</v>
      </c>
      <c r="B264" s="481" t="s">
        <v>1153</v>
      </c>
      <c r="C264" s="482" t="s">
        <v>2441</v>
      </c>
      <c r="D264" s="217"/>
      <c r="E264" s="217" t="s">
        <v>1139</v>
      </c>
      <c r="F264" s="217" t="s">
        <v>2442</v>
      </c>
      <c r="G264" s="217" t="s">
        <v>13577</v>
      </c>
      <c r="H264" s="451">
        <v>0</v>
      </c>
      <c r="I264" s="452" t="s">
        <v>2480</v>
      </c>
      <c r="J264" s="452" t="s">
        <v>9192</v>
      </c>
      <c r="K264" s="483"/>
      <c r="L264" s="483"/>
      <c r="M264" s="483"/>
      <c r="N264" s="482" t="s">
        <v>16431</v>
      </c>
      <c r="O264" s="482" t="s">
        <v>16431</v>
      </c>
      <c r="P264" s="484" t="s">
        <v>499</v>
      </c>
      <c r="Q264" s="485" t="s">
        <v>15520</v>
      </c>
      <c r="R264" s="217" t="str">
        <f ca="1">IF(ISERROR($V264),"",OFFSET('Smelter Look-up'!$C$4,$V264-4,0)&amp;"")</f>
        <v>REMONDIS PMR B.V.</v>
      </c>
      <c r="S264" s="225" t="str">
        <f t="shared" ca="1" si="39"/>
        <v>NL</v>
      </c>
      <c r="T264" s="225" t="str">
        <f ca="1">IF(B264="","",IF(ISERROR(MATCH($J264,SorP!$B$1:$B$6230,0)),"",INDIRECT("'SorP'!$A$"&amp;MATCH($J264,SorP!$B$1:$B$6230,0))))</f>
        <v>NL-NB</v>
      </c>
      <c r="U264" s="241"/>
      <c r="V264" s="275">
        <f>IF(C264="",NA(),MATCH($B264&amp;$C264,'Smelter Look-up'!$J:$J,0))</f>
        <v>200</v>
      </c>
      <c r="W264" s="276"/>
      <c r="X264" s="276">
        <f t="shared" si="40"/>
        <v>0</v>
      </c>
      <c r="Y264" s="276"/>
      <c r="Z264" s="276"/>
      <c r="AB264" s="278" t="str">
        <f t="shared" si="41"/>
        <v>GoldRemondis Argentia B.V.</v>
      </c>
    </row>
    <row r="265" spans="1:28" s="277" customFormat="1" ht="20.25">
      <c r="A265" s="216" t="s">
        <v>2374</v>
      </c>
      <c r="B265" s="217" t="s">
        <v>1153</v>
      </c>
      <c r="C265" s="450" t="s">
        <v>2373</v>
      </c>
      <c r="D265" s="217"/>
      <c r="E265" s="217" t="s">
        <v>1118</v>
      </c>
      <c r="F265" s="217" t="s">
        <v>2374</v>
      </c>
      <c r="G265" s="217" t="s">
        <v>13577</v>
      </c>
      <c r="H265" s="451">
        <v>0</v>
      </c>
      <c r="I265" s="452" t="s">
        <v>1710</v>
      </c>
      <c r="J265" s="452" t="s">
        <v>3305</v>
      </c>
      <c r="K265" s="453"/>
      <c r="L265" s="453"/>
      <c r="M265" s="453"/>
      <c r="N265" s="453"/>
      <c r="O265" s="453"/>
      <c r="P265" s="454"/>
      <c r="Q265" s="455"/>
      <c r="R265" s="217" t="str">
        <f ca="1">IF(ISERROR($V265),"",OFFSET('Smelter Look-up'!$C$4,$V265-4,0)&amp;"")</f>
        <v>Tony Goetz NV</v>
      </c>
      <c r="S265" s="225" t="str">
        <f t="shared" ca="1" si="39"/>
        <v>BE</v>
      </c>
      <c r="T265" s="225" t="str">
        <f ca="1">IF(B265="","",IF(ISERROR(MATCH($J265,SorP!$B$1:$B$6230,0)),"",INDIRECT("'SorP'!$A$"&amp;MATCH($J265,SorP!$B$1:$B$6230,0))))</f>
        <v>BE-VAN</v>
      </c>
      <c r="U265" s="241"/>
      <c r="V265" s="275">
        <f>IF(C265="",NA(),MATCH($B265&amp;$C265,'Smelter Look-up'!$J:$J,0))</f>
        <v>260</v>
      </c>
      <c r="W265" s="276"/>
      <c r="X265" s="276">
        <f t="shared" si="40"/>
        <v>0</v>
      </c>
      <c r="Y265" s="276"/>
      <c r="Z265" s="276"/>
      <c r="AB265" s="278" t="str">
        <f t="shared" si="41"/>
        <v>GoldTony Goetz NV</v>
      </c>
    </row>
    <row r="266" spans="1:28" s="277" customFormat="1" ht="49.5">
      <c r="A266" s="216" t="s">
        <v>1889</v>
      </c>
      <c r="B266" s="217" t="s">
        <v>1156</v>
      </c>
      <c r="C266" s="450" t="s">
        <v>1888</v>
      </c>
      <c r="D266" s="217"/>
      <c r="E266" s="217" t="s">
        <v>2576</v>
      </c>
      <c r="F266" s="217" t="s">
        <v>1889</v>
      </c>
      <c r="G266" s="217" t="s">
        <v>13577</v>
      </c>
      <c r="H266" s="451" t="s">
        <v>16432</v>
      </c>
      <c r="I266" s="452" t="s">
        <v>1890</v>
      </c>
      <c r="J266" s="452" t="s">
        <v>1647</v>
      </c>
      <c r="K266" s="486" t="s">
        <v>16433</v>
      </c>
      <c r="L266" s="486" t="s">
        <v>16434</v>
      </c>
      <c r="M266" s="486" t="s">
        <v>15554</v>
      </c>
      <c r="N266" s="486" t="s">
        <v>15542</v>
      </c>
      <c r="O266" s="486" t="s">
        <v>15771</v>
      </c>
      <c r="P266" s="454" t="s">
        <v>499</v>
      </c>
      <c r="Q266" s="487" t="s">
        <v>15513</v>
      </c>
      <c r="R266" s="217" t="str">
        <f ca="1">IF(ISERROR($V266),"",OFFSET('Smelter Look-up'!$C$4,$V266-4,0)&amp;"")</f>
        <v>Niagara Refining LLC</v>
      </c>
      <c r="S266" s="225" t="str">
        <f t="shared" ca="1" si="39"/>
        <v>US</v>
      </c>
      <c r="T266" s="225" t="str">
        <f ca="1">IF(B266="","",IF(ISERROR(MATCH($J266,SorP!$B$1:$B$6230,0)),"",INDIRECT("'SorP'!$A$"&amp;MATCH($J266,SorP!$B$1:$B$6230,0))))</f>
        <v>US-NY</v>
      </c>
      <c r="U266" s="241"/>
      <c r="V266" s="275">
        <f>IF(C266="",NA(),MATCH($B266&amp;$C266,'Smelter Look-up'!$J:$J,0))</f>
        <v>544</v>
      </c>
      <c r="W266" s="276"/>
      <c r="X266" s="276">
        <f t="shared" si="40"/>
        <v>0</v>
      </c>
      <c r="Y266" s="276"/>
      <c r="Z266" s="276"/>
      <c r="AB266" s="278" t="str">
        <f t="shared" si="41"/>
        <v>TungstenNiagara Refining LLC</v>
      </c>
    </row>
    <row r="267" spans="1:28" s="277" customFormat="1" ht="61.9">
      <c r="A267" s="488" t="s">
        <v>16435</v>
      </c>
      <c r="B267" s="217" t="s">
        <v>1154</v>
      </c>
      <c r="C267" s="489" t="s">
        <v>16436</v>
      </c>
      <c r="D267" s="217"/>
      <c r="E267" s="217" t="s">
        <v>1128</v>
      </c>
      <c r="F267" s="217" t="s">
        <v>16435</v>
      </c>
      <c r="G267" s="217" t="s">
        <v>13577</v>
      </c>
      <c r="H267" s="451" t="s">
        <v>16437</v>
      </c>
      <c r="I267" s="452" t="s">
        <v>15651</v>
      </c>
      <c r="J267" s="452" t="s">
        <v>13183</v>
      </c>
      <c r="K267" s="486" t="s">
        <v>16438</v>
      </c>
      <c r="L267" s="486" t="s">
        <v>16439</v>
      </c>
      <c r="M267" s="486" t="s">
        <v>15554</v>
      </c>
      <c r="N267" s="486" t="s">
        <v>15511</v>
      </c>
      <c r="O267" s="486" t="s">
        <v>15807</v>
      </c>
      <c r="P267" s="454" t="s">
        <v>499</v>
      </c>
      <c r="Q267" s="487" t="s">
        <v>15513</v>
      </c>
      <c r="R267" s="217" t="str">
        <f ca="1">IF(ISERROR($V267),"",OFFSET('Smelter Look-up'!$C$4,$V267-4,0)&amp;"")</f>
        <v/>
      </c>
      <c r="S267" s="225" t="str">
        <f t="shared" ca="1" si="39"/>
        <v>ID</v>
      </c>
      <c r="T267" s="225" t="str">
        <f ca="1">IF(B267="","",IF(ISERROR(MATCH($J267,SorP!$B$1:$B$6230,0)),"",INDIRECT("'SorP'!$A$"&amp;MATCH($J267,SorP!$B$1:$B$6230,0))))</f>
        <v>ID-BB</v>
      </c>
      <c r="U267" s="241"/>
      <c r="V267" s="275" t="e">
        <f>IF(C267="",NA(),MATCH($B267&amp;$C267,'Smelter Look-up'!$J:$J,0))</f>
        <v>#N/A</v>
      </c>
      <c r="W267" s="276"/>
      <c r="X267" s="276">
        <f t="shared" si="40"/>
        <v>0</v>
      </c>
      <c r="Y267" s="276"/>
      <c r="Z267" s="276"/>
      <c r="AB267" s="278" t="str">
        <f t="shared" si="41"/>
        <v>TinCV Dua Sekawan</v>
      </c>
    </row>
    <row r="268" spans="1:28" s="277" customFormat="1" ht="49.5">
      <c r="A268" s="488" t="s">
        <v>16440</v>
      </c>
      <c r="B268" s="217" t="s">
        <v>1154</v>
      </c>
      <c r="C268" s="489" t="s">
        <v>16441</v>
      </c>
      <c r="D268" s="217"/>
      <c r="E268" s="217" t="s">
        <v>1128</v>
      </c>
      <c r="F268" s="217" t="s">
        <v>16440</v>
      </c>
      <c r="G268" s="217" t="s">
        <v>13577</v>
      </c>
      <c r="H268" s="451" t="s">
        <v>16442</v>
      </c>
      <c r="I268" s="452" t="s">
        <v>15651</v>
      </c>
      <c r="J268" s="452" t="s">
        <v>13183</v>
      </c>
      <c r="K268" s="486" t="s">
        <v>16443</v>
      </c>
      <c r="L268" s="486" t="s">
        <v>16444</v>
      </c>
      <c r="M268" s="486" t="s">
        <v>15554</v>
      </c>
      <c r="N268" s="486" t="s">
        <v>15511</v>
      </c>
      <c r="O268" s="486" t="s">
        <v>15807</v>
      </c>
      <c r="P268" s="454" t="s">
        <v>499</v>
      </c>
      <c r="Q268" s="487" t="s">
        <v>15513</v>
      </c>
      <c r="R268" s="217" t="str">
        <f ca="1">IF(ISERROR($V268),"",OFFSET('Smelter Look-up'!$C$4,$V268-4,0)&amp;"")</f>
        <v/>
      </c>
      <c r="S268" s="225" t="str">
        <f t="shared" ca="1" si="39"/>
        <v>ID</v>
      </c>
      <c r="T268" s="225" t="str">
        <f ca="1">IF(B268="","",IF(ISERROR(MATCH($J268,SorP!$B$1:$B$6230,0)),"",INDIRECT("'SorP'!$A$"&amp;MATCH($J268,SorP!$B$1:$B$6230,0))))</f>
        <v>ID-BB</v>
      </c>
      <c r="U268" s="241"/>
      <c r="V268" s="275" t="e">
        <f>IF(C268="",NA(),MATCH($B268&amp;$C268,'Smelter Look-up'!$J:$J,0))</f>
        <v>#N/A</v>
      </c>
      <c r="W268" s="276"/>
      <c r="X268" s="276">
        <f t="shared" si="40"/>
        <v>0</v>
      </c>
      <c r="Y268" s="276"/>
      <c r="Z268" s="276"/>
      <c r="AB268" s="278" t="str">
        <f t="shared" si="41"/>
        <v>TinCV Tiga Sekawan</v>
      </c>
    </row>
    <row r="269" spans="1:28" s="277" customFormat="1" ht="37.15">
      <c r="A269" s="488" t="s">
        <v>1749</v>
      </c>
      <c r="B269" s="217" t="s">
        <v>1153</v>
      </c>
      <c r="C269" s="489" t="s">
        <v>2428</v>
      </c>
      <c r="D269" s="217"/>
      <c r="E269" s="217" t="s">
        <v>1134</v>
      </c>
      <c r="F269" s="217" t="s">
        <v>1749</v>
      </c>
      <c r="G269" s="217" t="s">
        <v>13577</v>
      </c>
      <c r="H269" s="451" t="s">
        <v>16445</v>
      </c>
      <c r="I269" s="452" t="s">
        <v>1750</v>
      </c>
      <c r="J269" s="452" t="s">
        <v>13208</v>
      </c>
      <c r="K269" s="486" t="s">
        <v>16446</v>
      </c>
      <c r="L269" s="486" t="s">
        <v>16447</v>
      </c>
      <c r="M269" s="486" t="s">
        <v>16448</v>
      </c>
      <c r="N269" s="486" t="s">
        <v>15511</v>
      </c>
      <c r="O269" s="486" t="s">
        <v>15807</v>
      </c>
      <c r="P269" s="454" t="s">
        <v>499</v>
      </c>
      <c r="Q269" s="487" t="s">
        <v>15520</v>
      </c>
      <c r="R269" s="217" t="str">
        <f ca="1">IF(ISERROR($V269),"",OFFSET('Smelter Look-up'!$C$4,$V269-4,0)&amp;"")</f>
        <v>Korea Zinc Co., Ltd.</v>
      </c>
      <c r="S269" s="225" t="str">
        <f t="shared" ca="1" si="39"/>
        <v>KR</v>
      </c>
      <c r="T269" s="225" t="str">
        <f ca="1">IF(B269="","",IF(ISERROR(MATCH($J269,SorP!$B$1:$B$6230,0)),"",INDIRECT("'SorP'!$A$"&amp;MATCH($J269,SorP!$B$1:$B$6230,0))))</f>
        <v>KR-11</v>
      </c>
      <c r="U269" s="241"/>
      <c r="V269" s="275">
        <f>IF(C269="",NA(),MATCH($B269&amp;$C269,'Smelter Look-up'!$J:$J,0))</f>
        <v>131</v>
      </c>
      <c r="W269" s="276"/>
      <c r="X269" s="276">
        <f t="shared" si="40"/>
        <v>0</v>
      </c>
      <c r="Y269" s="276"/>
      <c r="Z269" s="276"/>
      <c r="AB269" s="278" t="str">
        <f t="shared" si="41"/>
        <v>GoldKorea Zinc Co., Ltd.</v>
      </c>
    </row>
    <row r="270" spans="1:28" s="277" customFormat="1" ht="37.15">
      <c r="A270" s="488" t="s">
        <v>2656</v>
      </c>
      <c r="B270" s="217" t="s">
        <v>1153</v>
      </c>
      <c r="C270" s="489" t="s">
        <v>2655</v>
      </c>
      <c r="D270" s="217"/>
      <c r="E270" s="217" t="s">
        <v>1119</v>
      </c>
      <c r="F270" s="217" t="s">
        <v>2656</v>
      </c>
      <c r="G270" s="217" t="s">
        <v>13577</v>
      </c>
      <c r="H270" s="451" t="s">
        <v>16449</v>
      </c>
      <c r="I270" s="452" t="s">
        <v>2657</v>
      </c>
      <c r="J270" s="452" t="s">
        <v>1708</v>
      </c>
      <c r="K270" s="486" t="s">
        <v>16450</v>
      </c>
      <c r="L270" s="486" t="s">
        <v>16451</v>
      </c>
      <c r="M270" s="486" t="s">
        <v>15554</v>
      </c>
      <c r="N270" s="486" t="s">
        <v>15542</v>
      </c>
      <c r="O270" s="486" t="s">
        <v>15771</v>
      </c>
      <c r="P270" s="454" t="s">
        <v>499</v>
      </c>
      <c r="Q270" s="487" t="s">
        <v>15520</v>
      </c>
      <c r="R270" s="217" t="str">
        <f ca="1">IF(ISERROR($V270),"",OFFSET('Smelter Look-up'!$C$4,$V270-4,0)&amp;"")</f>
        <v>Marsam Metals</v>
      </c>
      <c r="S270" s="225" t="str">
        <f t="shared" ca="1" si="39"/>
        <v>BR</v>
      </c>
      <c r="T270" s="225" t="str">
        <f ca="1">IF(B270="","",IF(ISERROR(MATCH($J270,SorP!$B$1:$B$6230,0)),"",INDIRECT("'SorP'!$A$"&amp;MATCH($J270,SorP!$B$1:$B$6230,0))))</f>
        <v>BR-SP</v>
      </c>
      <c r="U270" s="241"/>
      <c r="V270" s="275">
        <f>IF(C270="",NA(),MATCH($B270&amp;$C270,'Smelter Look-up'!$J:$J,0))</f>
        <v>148</v>
      </c>
      <c r="W270" s="276"/>
      <c r="X270" s="276">
        <f t="shared" si="40"/>
        <v>0</v>
      </c>
      <c r="Y270" s="276"/>
      <c r="Z270" s="276"/>
      <c r="AB270" s="278" t="str">
        <f t="shared" si="41"/>
        <v>GoldMarsam Metals</v>
      </c>
    </row>
    <row r="271" spans="1:28" s="277" customFormat="1" ht="20.25">
      <c r="A271" s="490" t="s">
        <v>2455</v>
      </c>
      <c r="B271" s="217" t="s">
        <v>1153</v>
      </c>
      <c r="C271" s="489" t="s">
        <v>2454</v>
      </c>
      <c r="D271" s="217"/>
      <c r="E271" s="217" t="s">
        <v>1132</v>
      </c>
      <c r="F271" s="217" t="s">
        <v>2455</v>
      </c>
      <c r="G271" s="457" t="s">
        <v>15611</v>
      </c>
      <c r="H271" s="451">
        <v>0</v>
      </c>
      <c r="I271" s="452" t="s">
        <v>2456</v>
      </c>
      <c r="J271" s="452" t="s">
        <v>2457</v>
      </c>
      <c r="K271" s="486"/>
      <c r="L271" s="486"/>
      <c r="M271" s="486"/>
      <c r="N271" s="486"/>
      <c r="O271" s="486"/>
      <c r="P271" s="454"/>
      <c r="Q271" s="487"/>
      <c r="R271" s="217" t="str">
        <f ca="1">IF(ISERROR($V271),"",OFFSET('Smelter Look-up'!$C$4,$V271-4,0)&amp;"")</f>
        <v>TOO Tau-Ken-Altyn</v>
      </c>
      <c r="S271" s="225" t="str">
        <f t="shared" ca="1" si="39"/>
        <v>KZ</v>
      </c>
      <c r="T271" s="225" t="str">
        <f ca="1">IF(B271="","",IF(ISERROR(MATCH($J271,SorP!$B$1:$B$6230,0)),"",INDIRECT("'SorP'!$A$"&amp;MATCH($J271,SorP!$B$1:$B$6230,0))))</f>
        <v>KZ-ALA</v>
      </c>
      <c r="U271" s="241"/>
      <c r="V271" s="275">
        <f>IF(C271="",NA(),MATCH($B271&amp;$C271,'Smelter Look-up'!$J:$J,0))</f>
        <v>261</v>
      </c>
      <c r="W271" s="276"/>
      <c r="X271" s="276">
        <f t="shared" si="40"/>
        <v>0</v>
      </c>
      <c r="Y271" s="276"/>
      <c r="Z271" s="276"/>
      <c r="AB271" s="278" t="str">
        <f t="shared" si="41"/>
        <v>GoldTOO Tau-Ken-Altyn</v>
      </c>
    </row>
    <row r="272" spans="1:28" s="277" customFormat="1" ht="20.25">
      <c r="A272" s="491" t="s">
        <v>2684</v>
      </c>
      <c r="B272" s="217" t="s">
        <v>1156</v>
      </c>
      <c r="C272" s="489" t="s">
        <v>13272</v>
      </c>
      <c r="D272" s="217"/>
      <c r="E272" s="217" t="s">
        <v>1123</v>
      </c>
      <c r="F272" s="217" t="s">
        <v>2684</v>
      </c>
      <c r="G272" s="217" t="s">
        <v>13577</v>
      </c>
      <c r="H272" s="451">
        <v>0</v>
      </c>
      <c r="I272" s="452" t="s">
        <v>1812</v>
      </c>
      <c r="J272" s="452" t="s">
        <v>15601</v>
      </c>
      <c r="K272" s="486"/>
      <c r="L272" s="486"/>
      <c r="M272" s="486"/>
      <c r="N272" s="486"/>
      <c r="O272" s="486"/>
      <c r="P272" s="454"/>
      <c r="Q272" s="487"/>
      <c r="R272" s="217" t="str">
        <f ca="1">IF(ISERROR($V272),"",OFFSET('Smelter Look-up'!$C$4,$V272-4,0)&amp;"")</f>
        <v>Ganzhou Haichuang Tungsten Co., Ltd.</v>
      </c>
      <c r="S272" s="225" t="str">
        <f t="shared" ca="1" si="39"/>
        <v>CN</v>
      </c>
      <c r="T272" s="225" t="str">
        <f ca="1">IF(B272="","",IF(ISERROR(MATCH($J272,SorP!$B$1:$B$6230,0)),"",INDIRECT("'SorP'!$A$"&amp;MATCH($J272,SorP!$B$1:$B$6230,0))))</f>
        <v/>
      </c>
      <c r="U272" s="241"/>
      <c r="V272" s="275">
        <f>IF(C272="",NA(),MATCH($B272&amp;$C272,'Smelter Look-up'!$J:$J,0))</f>
        <v>507</v>
      </c>
      <c r="W272" s="276"/>
      <c r="X272" s="276">
        <f t="shared" si="40"/>
        <v>0</v>
      </c>
      <c r="Y272" s="276"/>
      <c r="Z272" s="276"/>
      <c r="AB272" s="278" t="str">
        <f t="shared" si="41"/>
        <v>TungstenGanzhou Haichuang Tungsten Co., Ltd.</v>
      </c>
    </row>
    <row r="273" spans="1:28" s="277" customFormat="1" ht="20.25">
      <c r="A273" s="490" t="s">
        <v>2385</v>
      </c>
      <c r="B273" s="217" t="s">
        <v>1156</v>
      </c>
      <c r="C273" s="489" t="s">
        <v>2384</v>
      </c>
      <c r="D273" s="217"/>
      <c r="E273" s="217" t="s">
        <v>1123</v>
      </c>
      <c r="F273" s="217" t="s">
        <v>2385</v>
      </c>
      <c r="G273" s="457" t="s">
        <v>15611</v>
      </c>
      <c r="H273" s="451">
        <v>0</v>
      </c>
      <c r="I273" s="452" t="s">
        <v>2472</v>
      </c>
      <c r="J273" s="452" t="s">
        <v>15601</v>
      </c>
      <c r="K273" s="486"/>
      <c r="L273" s="486"/>
      <c r="M273" s="486"/>
      <c r="N273" s="486"/>
      <c r="O273" s="486"/>
      <c r="P273" s="454"/>
      <c r="Q273" s="487"/>
      <c r="R273" s="217" t="str">
        <f ca="1">IF(ISERROR($V273),"",OFFSET('Smelter Look-up'!$C$4,$V273-4,0)&amp;"")</f>
        <v>Jiangxi Xianglu Tungsten Co., Ltd.</v>
      </c>
      <c r="S273" s="225" t="str">
        <f t="shared" ca="1" si="39"/>
        <v>CN</v>
      </c>
      <c r="T273" s="225" t="str">
        <f ca="1">IF(B273="","",IF(ISERROR(MATCH($J273,SorP!$B$1:$B$6230,0)),"",INDIRECT("'SorP'!$A$"&amp;MATCH($J273,SorP!$B$1:$B$6230,0))))</f>
        <v/>
      </c>
      <c r="U273" s="241"/>
      <c r="V273" s="275">
        <f>IF(C273="",NA(),MATCH($B273&amp;$C273,'Smelter Look-up'!$J:$J,0))</f>
        <v>527</v>
      </c>
      <c r="W273" s="276"/>
      <c r="X273" s="276">
        <f t="shared" si="40"/>
        <v>0</v>
      </c>
      <c r="Y273" s="276"/>
      <c r="Z273" s="276"/>
      <c r="AB273" s="278" t="str">
        <f t="shared" si="41"/>
        <v>TungstenJiangxi Dayu Longxintai Tungsten Co., Ltd.</v>
      </c>
    </row>
    <row r="274" spans="1:28" s="277" customFormat="1" ht="37.15">
      <c r="A274" s="488" t="s">
        <v>1892</v>
      </c>
      <c r="B274" s="217" t="s">
        <v>1156</v>
      </c>
      <c r="C274" s="489" t="s">
        <v>1891</v>
      </c>
      <c r="D274" s="217"/>
      <c r="E274" s="217" t="s">
        <v>906</v>
      </c>
      <c r="F274" s="217" t="s">
        <v>1892</v>
      </c>
      <c r="G274" s="217" t="s">
        <v>13577</v>
      </c>
      <c r="H274" s="451" t="s">
        <v>16452</v>
      </c>
      <c r="I274" s="452" t="s">
        <v>1893</v>
      </c>
      <c r="J274" s="452" t="s">
        <v>10351</v>
      </c>
      <c r="K274" s="486" t="s">
        <v>16453</v>
      </c>
      <c r="L274" s="486" t="s">
        <v>16454</v>
      </c>
      <c r="M274" s="486" t="s">
        <v>15554</v>
      </c>
      <c r="N274" s="486" t="s">
        <v>15542</v>
      </c>
      <c r="O274" s="486" t="s">
        <v>15771</v>
      </c>
      <c r="P274" s="454" t="s">
        <v>499</v>
      </c>
      <c r="Q274" s="487" t="s">
        <v>15513</v>
      </c>
      <c r="R274" s="217" t="str">
        <f ca="1">IF(ISERROR($V274),"",OFFSET('Smelter Look-up'!$C$4,$V274-4,0)&amp;"")</f>
        <v>Hydrometallurg, JSC</v>
      </c>
      <c r="S274" s="225" t="str">
        <f t="shared" ca="1" si="39"/>
        <v>RU</v>
      </c>
      <c r="T274" s="225" t="str">
        <f ca="1">IF(B274="","",IF(ISERROR(MATCH($J274,SorP!$B$1:$B$6230,0)),"",INDIRECT("'SorP'!$A$"&amp;MATCH($J274,SorP!$B$1:$B$6230,0))))</f>
        <v>RU-KB</v>
      </c>
      <c r="U274" s="241"/>
      <c r="V274" s="275">
        <f>IF(C274="",NA(),MATCH($B274&amp;$C274,'Smelter Look-up'!$J:$J,0))</f>
        <v>524</v>
      </c>
      <c r="W274" s="276"/>
      <c r="X274" s="276">
        <f t="shared" si="40"/>
        <v>0</v>
      </c>
      <c r="Y274" s="276"/>
      <c r="Z274" s="276"/>
      <c r="AB274" s="278" t="str">
        <f t="shared" si="41"/>
        <v>TungstenHydrometallurg, JSC</v>
      </c>
    </row>
    <row r="275" spans="1:28" s="277" customFormat="1" ht="24.75">
      <c r="A275" s="488" t="s">
        <v>2241</v>
      </c>
      <c r="B275" s="217" t="s">
        <v>1154</v>
      </c>
      <c r="C275" s="489" t="s">
        <v>2240</v>
      </c>
      <c r="D275" s="217"/>
      <c r="E275" s="217" t="s">
        <v>915</v>
      </c>
      <c r="F275" s="217" t="s">
        <v>2241</v>
      </c>
      <c r="G275" s="217" t="s">
        <v>13577</v>
      </c>
      <c r="H275" s="451" t="s">
        <v>14249</v>
      </c>
      <c r="I275" s="452" t="s">
        <v>1851</v>
      </c>
      <c r="J275" s="452" t="s">
        <v>12453</v>
      </c>
      <c r="K275" s="486" t="s">
        <v>16455</v>
      </c>
      <c r="L275" s="486" t="s">
        <v>16456</v>
      </c>
      <c r="M275" s="486" t="s">
        <v>14249</v>
      </c>
      <c r="N275" s="486" t="s">
        <v>14249</v>
      </c>
      <c r="O275" s="486" t="s">
        <v>14249</v>
      </c>
      <c r="P275" s="454" t="s">
        <v>14249</v>
      </c>
      <c r="Q275" s="487" t="s">
        <v>14249</v>
      </c>
      <c r="R275" s="217" t="str">
        <f ca="1">IF(ISERROR($V275),"",OFFSET('Smelter Look-up'!$C$4,$V275-4,0)&amp;"")</f>
        <v>An Vinh Joint Stock Mineral Processing Company</v>
      </c>
      <c r="S275" s="225" t="str">
        <f t="shared" ca="1" si="39"/>
        <v>VN</v>
      </c>
      <c r="T275" s="225" t="str">
        <f ca="1">IF(B275="","",IF(ISERROR(MATCH($J275,SorP!$B$1:$B$6230,0)),"",INDIRECT("'SorP'!$A$"&amp;MATCH($J275,SorP!$B$1:$B$6230,0))))</f>
        <v>VN-22</v>
      </c>
      <c r="U275" s="241"/>
      <c r="V275" s="275">
        <f>IF(C275="",NA(),MATCH($B275&amp;$C275,'Smelter Look-up'!$J:$J,0))</f>
        <v>360</v>
      </c>
      <c r="W275" s="276"/>
      <c r="X275" s="276">
        <f t="shared" si="40"/>
        <v>0</v>
      </c>
      <c r="Y275" s="276"/>
      <c r="Z275" s="276"/>
      <c r="AB275" s="278" t="str">
        <f t="shared" si="41"/>
        <v>TinAn Vinh Joint Stock Mineral Processing Company</v>
      </c>
    </row>
    <row r="276" spans="1:28" s="277" customFormat="1" ht="49.5">
      <c r="A276" s="488" t="s">
        <v>1855</v>
      </c>
      <c r="B276" s="217" t="s">
        <v>1154</v>
      </c>
      <c r="C276" s="489" t="s">
        <v>12761</v>
      </c>
      <c r="D276" s="217"/>
      <c r="E276" s="217" t="s">
        <v>1119</v>
      </c>
      <c r="F276" s="217" t="s">
        <v>1855</v>
      </c>
      <c r="G276" s="217" t="s">
        <v>13577</v>
      </c>
      <c r="H276" s="451" t="s">
        <v>16457</v>
      </c>
      <c r="I276" s="452" t="s">
        <v>1757</v>
      </c>
      <c r="J276" s="452" t="s">
        <v>1796</v>
      </c>
      <c r="K276" s="486" t="s">
        <v>16458</v>
      </c>
      <c r="L276" s="486" t="s">
        <v>16459</v>
      </c>
      <c r="M276" s="486" t="s">
        <v>16460</v>
      </c>
      <c r="N276" s="486" t="s">
        <v>15511</v>
      </c>
      <c r="O276" s="486" t="s">
        <v>15807</v>
      </c>
      <c r="P276" s="454" t="s">
        <v>499</v>
      </c>
      <c r="Q276" s="487" t="s">
        <v>15513</v>
      </c>
      <c r="R276" s="217" t="str">
        <f ca="1">IF(ISERROR($V276),"",OFFSET('Smelter Look-up'!$C$4,$V276-4,0)&amp;"")</f>
        <v>Resind Industria e Comercio Ltda.</v>
      </c>
      <c r="S276" s="225" t="str">
        <f t="shared" ca="1" si="39"/>
        <v>BR</v>
      </c>
      <c r="T276" s="225" t="str">
        <f ca="1">IF(B276="","",IF(ISERROR(MATCH($J276,SorP!$B$1:$B$6230,0)),"",INDIRECT("'SorP'!$A$"&amp;MATCH($J276,SorP!$B$1:$B$6230,0))))</f>
        <v>BR-MG</v>
      </c>
      <c r="U276" s="241"/>
      <c r="V276" s="275">
        <f>IF(C276="",NA(),MATCH($B276&amp;$C276,'Smelter Look-up'!$J:$J,0))</f>
        <v>448</v>
      </c>
      <c r="W276" s="276"/>
      <c r="X276" s="276">
        <f t="shared" si="40"/>
        <v>0</v>
      </c>
      <c r="Y276" s="276"/>
      <c r="Z276" s="276"/>
      <c r="AB276" s="278" t="str">
        <f t="shared" si="41"/>
        <v>TinResind Industria e Comercio Ltda.</v>
      </c>
    </row>
    <row r="277" spans="1:28" s="277" customFormat="1" ht="49.5">
      <c r="A277" s="488" t="s">
        <v>1795</v>
      </c>
      <c r="B277" s="217" t="s">
        <v>1155</v>
      </c>
      <c r="C277" s="489" t="s">
        <v>12761</v>
      </c>
      <c r="D277" s="217"/>
      <c r="E277" s="217" t="s">
        <v>1119</v>
      </c>
      <c r="F277" s="217" t="s">
        <v>1795</v>
      </c>
      <c r="G277" s="217" t="s">
        <v>13577</v>
      </c>
      <c r="H277" s="451" t="s">
        <v>16457</v>
      </c>
      <c r="I277" s="452" t="s">
        <v>1757</v>
      </c>
      <c r="J277" s="452" t="s">
        <v>1796</v>
      </c>
      <c r="K277" s="486" t="s">
        <v>16458</v>
      </c>
      <c r="L277" s="486" t="s">
        <v>16459</v>
      </c>
      <c r="M277" s="486" t="s">
        <v>16460</v>
      </c>
      <c r="N277" s="486" t="s">
        <v>15511</v>
      </c>
      <c r="O277" s="486" t="s">
        <v>15807</v>
      </c>
      <c r="P277" s="454" t="s">
        <v>499</v>
      </c>
      <c r="Q277" s="487" t="s">
        <v>15520</v>
      </c>
      <c r="R277" s="217" t="str">
        <f ca="1">IF(ISERROR($V277),"",OFFSET('Smelter Look-up'!$C$4,$V277-4,0)&amp;"")</f>
        <v>Resind Industria e Comercio Ltda.</v>
      </c>
      <c r="S277" s="225" t="str">
        <f t="shared" ca="1" si="39"/>
        <v>BR</v>
      </c>
      <c r="T277" s="225" t="str">
        <f ca="1">IF(B277="","",IF(ISERROR(MATCH($J277,SorP!$B$1:$B$6230,0)),"",INDIRECT("'SorP'!$A$"&amp;MATCH($J277,SorP!$B$1:$B$6230,0))))</f>
        <v>BR-MG</v>
      </c>
      <c r="U277" s="241"/>
      <c r="V277" s="275">
        <f>IF(C277="",NA(),MATCH($B277&amp;$C277,'Smelter Look-up'!$J:$J,0))</f>
        <v>338</v>
      </c>
      <c r="W277" s="276"/>
      <c r="X277" s="276">
        <f t="shared" si="40"/>
        <v>0</v>
      </c>
      <c r="Y277" s="276"/>
      <c r="Z277" s="276"/>
      <c r="AB277" s="278" t="str">
        <f t="shared" si="41"/>
        <v>TantalumResind Industria e Comercio Ltda.</v>
      </c>
    </row>
    <row r="278" spans="1:28" s="277" customFormat="1" ht="24.75">
      <c r="A278" s="488" t="s">
        <v>2592</v>
      </c>
      <c r="B278" s="217" t="s">
        <v>1156</v>
      </c>
      <c r="C278" s="489" t="s">
        <v>2591</v>
      </c>
      <c r="D278" s="217"/>
      <c r="E278" s="217" t="s">
        <v>906</v>
      </c>
      <c r="F278" s="217" t="s">
        <v>2592</v>
      </c>
      <c r="G278" s="217" t="s">
        <v>13577</v>
      </c>
      <c r="H278" s="451" t="s">
        <v>16461</v>
      </c>
      <c r="I278" s="452" t="s">
        <v>2689</v>
      </c>
      <c r="J278" s="452" t="s">
        <v>10271</v>
      </c>
      <c r="K278" s="486" t="s">
        <v>16462</v>
      </c>
      <c r="L278" s="486" t="s">
        <v>16463</v>
      </c>
      <c r="M278" s="486" t="s">
        <v>16464</v>
      </c>
      <c r="N278" s="486" t="s">
        <v>15542</v>
      </c>
      <c r="O278" s="486" t="s">
        <v>15771</v>
      </c>
      <c r="P278" s="454" t="s">
        <v>499</v>
      </c>
      <c r="Q278" s="487" t="s">
        <v>15520</v>
      </c>
      <c r="R278" s="217" t="str">
        <f ca="1">IF(ISERROR($V278),"",OFFSET('Smelter Look-up'!$C$4,$V278-4,0)&amp;"")</f>
        <v>Unecha Refractory metals plant</v>
      </c>
      <c r="S278" s="225" t="str">
        <f t="shared" ca="1" si="39"/>
        <v>RU</v>
      </c>
      <c r="T278" s="225" t="str">
        <f ca="1">IF(B278="","",IF(ISERROR(MATCH($J278,SorP!$B$1:$B$6230,0)),"",INDIRECT("'SorP'!$A$"&amp;MATCH($J278,SorP!$B$1:$B$6230,0))))</f>
        <v>RU-BRY</v>
      </c>
      <c r="U278" s="241"/>
      <c r="V278" s="275">
        <f>IF(C278="",NA(),MATCH($B278&amp;$C278,'Smelter Look-up'!$J:$J,0))</f>
        <v>550</v>
      </c>
      <c r="W278" s="276"/>
      <c r="X278" s="276">
        <f t="shared" si="40"/>
        <v>0</v>
      </c>
      <c r="Y278" s="276"/>
      <c r="Z278" s="276"/>
      <c r="AB278" s="278" t="str">
        <f t="shared" si="41"/>
        <v>TungstenUnecha Refractory metals plant</v>
      </c>
    </row>
    <row r="279" spans="1:28" s="277" customFormat="1" ht="20.25">
      <c r="A279" s="490" t="s">
        <v>2680</v>
      </c>
      <c r="B279" s="217" t="s">
        <v>1154</v>
      </c>
      <c r="C279" s="489" t="s">
        <v>2679</v>
      </c>
      <c r="D279" s="217"/>
      <c r="E279" s="217" t="s">
        <v>1119</v>
      </c>
      <c r="F279" s="217" t="s">
        <v>2680</v>
      </c>
      <c r="G279" s="457" t="s">
        <v>15611</v>
      </c>
      <c r="H279" s="451">
        <v>0</v>
      </c>
      <c r="I279" s="452" t="s">
        <v>2692</v>
      </c>
      <c r="J279" s="452" t="s">
        <v>1708</v>
      </c>
      <c r="K279" s="486"/>
      <c r="L279" s="486"/>
      <c r="M279" s="486"/>
      <c r="N279" s="486"/>
      <c r="O279" s="486"/>
      <c r="P279" s="454"/>
      <c r="Q279" s="487"/>
      <c r="R279" s="217" t="str">
        <f ca="1">IF(ISERROR($V279),"",OFFSET('Smelter Look-up'!$C$4,$V279-4,0)&amp;"")</f>
        <v>Super Ligas</v>
      </c>
      <c r="S279" s="225" t="str">
        <f t="shared" ca="1" si="39"/>
        <v>BR</v>
      </c>
      <c r="T279" s="225" t="str">
        <f ca="1">IF(B279="","",IF(ISERROR(MATCH($J279,SorP!$B$1:$B$6230,0)),"",INDIRECT("'SorP'!$A$"&amp;MATCH($J279,SorP!$B$1:$B$6230,0))))</f>
        <v>BR-SP</v>
      </c>
      <c r="U279" s="241"/>
      <c r="V279" s="275">
        <f>IF(C279="",NA(),MATCH($B279&amp;$C279,'Smelter Look-up'!$J:$J,0))</f>
        <v>454</v>
      </c>
      <c r="W279" s="276"/>
      <c r="X279" s="276">
        <f t="shared" si="40"/>
        <v>0</v>
      </c>
      <c r="Y279" s="276"/>
      <c r="Z279" s="276"/>
      <c r="AB279" s="278" t="str">
        <f t="shared" si="41"/>
        <v>TinSuper Ligas</v>
      </c>
    </row>
    <row r="280" spans="1:28" s="277" customFormat="1" ht="24.75">
      <c r="A280" s="488" t="s">
        <v>2371</v>
      </c>
      <c r="B280" s="217" t="s">
        <v>1153</v>
      </c>
      <c r="C280" s="489" t="s">
        <v>2370</v>
      </c>
      <c r="D280" s="217"/>
      <c r="E280" s="217" t="s">
        <v>1127</v>
      </c>
      <c r="F280" s="217" t="s">
        <v>2371</v>
      </c>
      <c r="G280" s="217" t="s">
        <v>13577</v>
      </c>
      <c r="H280" s="451" t="s">
        <v>16465</v>
      </c>
      <c r="I280" s="452" t="s">
        <v>2372</v>
      </c>
      <c r="J280" s="452" t="s">
        <v>5047</v>
      </c>
      <c r="K280" s="486" t="s">
        <v>16466</v>
      </c>
      <c r="L280" s="486" t="s">
        <v>16467</v>
      </c>
      <c r="M280" s="486" t="s">
        <v>16468</v>
      </c>
      <c r="N280" s="486" t="s">
        <v>15511</v>
      </c>
      <c r="O280" s="486" t="s">
        <v>15814</v>
      </c>
      <c r="P280" s="454"/>
      <c r="Q280" s="487" t="s">
        <v>15520</v>
      </c>
      <c r="R280" s="217" t="str">
        <f ca="1">IF(ISERROR($V280),"",OFFSET('Smelter Look-up'!$C$4,$V280-4,0)&amp;"")</f>
        <v>SAAMP</v>
      </c>
      <c r="S280" s="225" t="str">
        <f t="shared" ca="1" si="39"/>
        <v>FR</v>
      </c>
      <c r="T280" s="225" t="str">
        <f ca="1">IF(B280="","",IF(ISERROR(MATCH($J280,SorP!$B$1:$B$6230,0)),"",INDIRECT("'SorP'!$A$"&amp;MATCH($J280,SorP!$B$1:$B$6230,0))))</f>
        <v>FR-IDF</v>
      </c>
      <c r="U280" s="241"/>
      <c r="V280" s="275">
        <f>IF(C280="",NA(),MATCH($B280&amp;$C280,'Smelter Look-up'!$J:$J,0))</f>
        <v>203</v>
      </c>
      <c r="W280" s="276"/>
      <c r="X280" s="276">
        <f t="shared" si="40"/>
        <v>0</v>
      </c>
      <c r="Y280" s="276"/>
      <c r="Z280" s="276"/>
      <c r="AB280" s="278" t="str">
        <f t="shared" si="41"/>
        <v>GoldSAAMP</v>
      </c>
    </row>
    <row r="281" spans="1:28" s="277" customFormat="1" ht="20.25">
      <c r="A281" s="488" t="s">
        <v>2584</v>
      </c>
      <c r="B281" s="217" t="s">
        <v>1153</v>
      </c>
      <c r="C281" s="489" t="s">
        <v>2583</v>
      </c>
      <c r="D281" s="217"/>
      <c r="E281" s="217" t="s">
        <v>1114</v>
      </c>
      <c r="F281" s="217" t="s">
        <v>2584</v>
      </c>
      <c r="G281" s="217" t="s">
        <v>13577</v>
      </c>
      <c r="H281" s="451" t="s">
        <v>14249</v>
      </c>
      <c r="I281" s="452" t="s">
        <v>2594</v>
      </c>
      <c r="J281" s="452" t="s">
        <v>2594</v>
      </c>
      <c r="K281" s="486" t="s">
        <v>14249</v>
      </c>
      <c r="L281" s="486" t="s">
        <v>14249</v>
      </c>
      <c r="M281" s="486" t="s">
        <v>14249</v>
      </c>
      <c r="N281" s="486" t="s">
        <v>14249</v>
      </c>
      <c r="O281" s="486" t="s">
        <v>14249</v>
      </c>
      <c r="P281" s="454" t="s">
        <v>499</v>
      </c>
      <c r="Q281" s="487" t="s">
        <v>14249</v>
      </c>
      <c r="R281" s="217" t="str">
        <f ca="1">IF(ISERROR($V281),"",OFFSET('Smelter Look-up'!$C$4,$V281-4,0)&amp;"")</f>
        <v>L'Orfebre S.A.</v>
      </c>
      <c r="S281" s="225" t="str">
        <f t="shared" ca="1" si="39"/>
        <v>AD</v>
      </c>
      <c r="T281" s="225" t="str">
        <f ca="1">IF(B281="","",IF(ISERROR(MATCH($J281,SorP!$B$1:$B$6230,0)),"",INDIRECT("'SorP'!$A$"&amp;MATCH($J281,SorP!$B$1:$B$6230,0))))</f>
        <v>AD-07</v>
      </c>
      <c r="U281" s="241"/>
      <c r="V281" s="275">
        <f>IF(C281="",NA(),MATCH($B281&amp;$C281,'Smelter Look-up'!$J:$J,0))</f>
        <v>142</v>
      </c>
      <c r="W281" s="276"/>
      <c r="X281" s="276">
        <f t="shared" si="40"/>
        <v>0</v>
      </c>
      <c r="Y281" s="276"/>
      <c r="Z281" s="276"/>
      <c r="AB281" s="278" t="str">
        <f t="shared" si="41"/>
        <v>GoldL'Orfebre S.A.</v>
      </c>
    </row>
    <row r="282" spans="1:28" s="277" customFormat="1" ht="24.75">
      <c r="A282" s="488" t="s">
        <v>2650</v>
      </c>
      <c r="B282" s="217" t="s">
        <v>1153</v>
      </c>
      <c r="C282" s="492" t="s">
        <v>2649</v>
      </c>
      <c r="D282" s="217"/>
      <c r="E282" s="217" t="s">
        <v>1130</v>
      </c>
      <c r="F282" s="217" t="s">
        <v>2650</v>
      </c>
      <c r="G282" s="217" t="s">
        <v>13577</v>
      </c>
      <c r="H282" s="451" t="s">
        <v>16469</v>
      </c>
      <c r="I282" s="452" t="s">
        <v>1599</v>
      </c>
      <c r="J282" s="452" t="s">
        <v>6691</v>
      </c>
      <c r="K282" s="453" t="s">
        <v>16470</v>
      </c>
      <c r="L282" s="453" t="s">
        <v>16471</v>
      </c>
      <c r="M282" s="453" t="s">
        <v>16472</v>
      </c>
      <c r="N282" s="453" t="s">
        <v>15511</v>
      </c>
      <c r="O282" s="453" t="s">
        <v>15814</v>
      </c>
      <c r="P282" s="454"/>
      <c r="Q282" s="455" t="s">
        <v>15520</v>
      </c>
      <c r="R282" s="217" t="str">
        <f ca="1">IF(ISERROR($V282),"",OFFSET('Smelter Look-up'!$C$4,$V282-4,0)&amp;"")</f>
        <v>Italpreziosi</v>
      </c>
      <c r="S282" s="225" t="str">
        <f t="shared" ca="1" si="39"/>
        <v>IT</v>
      </c>
      <c r="T282" s="225" t="str">
        <f ca="1">IF(B282="","",IF(ISERROR(MATCH($J282,SorP!$B$1:$B$6230,0)),"",INDIRECT("'SorP'!$A$"&amp;MATCH($J282,SorP!$B$1:$B$6230,0))))</f>
        <v>IT-52</v>
      </c>
      <c r="U282" s="241"/>
      <c r="V282" s="275">
        <f>IF(C282="",NA(),MATCH($B282&amp;$C282,'Smelter Look-up'!$J:$J,0))</f>
        <v>109</v>
      </c>
      <c r="W282" s="276"/>
      <c r="X282" s="276">
        <f t="shared" si="40"/>
        <v>0</v>
      </c>
      <c r="Y282" s="276"/>
      <c r="Z282" s="276"/>
      <c r="AB282" s="278" t="str">
        <f t="shared" si="41"/>
        <v>GoldItalpreziosi</v>
      </c>
    </row>
    <row r="283" spans="1:28" s="277" customFormat="1" ht="24.75">
      <c r="A283" s="216" t="s">
        <v>1856</v>
      </c>
      <c r="B283" s="217" t="s">
        <v>1154</v>
      </c>
      <c r="C283" s="492" t="s">
        <v>13267</v>
      </c>
      <c r="D283" s="217"/>
      <c r="E283" s="217" t="s">
        <v>1118</v>
      </c>
      <c r="F283" s="217" t="s">
        <v>1856</v>
      </c>
      <c r="G283" s="217" t="s">
        <v>13577</v>
      </c>
      <c r="H283" s="451" t="s">
        <v>16473</v>
      </c>
      <c r="I283" s="452" t="s">
        <v>1857</v>
      </c>
      <c r="J283" s="452" t="s">
        <v>3305</v>
      </c>
      <c r="K283" s="453" t="s">
        <v>16474</v>
      </c>
      <c r="L283" s="453" t="s">
        <v>16475</v>
      </c>
      <c r="M283" s="453" t="s">
        <v>16476</v>
      </c>
      <c r="N283" s="453" t="s">
        <v>15542</v>
      </c>
      <c r="O283" s="453" t="s">
        <v>15771</v>
      </c>
      <c r="P283" s="454" t="s">
        <v>499</v>
      </c>
      <c r="Q283" s="455" t="s">
        <v>15513</v>
      </c>
      <c r="R283" s="217" t="str">
        <f ca="1">IF(ISERROR($V283),"",OFFSET('Smelter Look-up'!$C$4,$V283-4,0)&amp;"")</f>
        <v>Metallo Belgium N.V.</v>
      </c>
      <c r="S283" s="225" t="str">
        <f t="shared" ca="1" si="39"/>
        <v>BE</v>
      </c>
      <c r="T283" s="225" t="str">
        <f ca="1">IF(B283="","",IF(ISERROR(MATCH($J283,SorP!$B$1:$B$6230,0)),"",INDIRECT("'SorP'!$A$"&amp;MATCH($J283,SorP!$B$1:$B$6230,0))))</f>
        <v>BE-VAN</v>
      </c>
      <c r="U283" s="241"/>
      <c r="V283" s="275">
        <f>IF(C283="",NA(),MATCH($B283&amp;$C283,'Smelter Look-up'!$J:$J,0))</f>
        <v>419</v>
      </c>
      <c r="W283" s="276"/>
      <c r="X283" s="276">
        <f t="shared" si="40"/>
        <v>0</v>
      </c>
      <c r="Y283" s="276"/>
      <c r="Z283" s="276"/>
      <c r="AB283" s="278" t="str">
        <f t="shared" si="41"/>
        <v>TinMetallo Belgium N.V.</v>
      </c>
    </row>
    <row r="284" spans="1:28" s="277" customFormat="1" ht="24.75">
      <c r="A284" s="216" t="s">
        <v>1858</v>
      </c>
      <c r="B284" s="217" t="s">
        <v>1154</v>
      </c>
      <c r="C284" s="450" t="s">
        <v>13268</v>
      </c>
      <c r="D284" s="217"/>
      <c r="E284" s="217" t="s">
        <v>1125</v>
      </c>
      <c r="F284" s="217" t="s">
        <v>1858</v>
      </c>
      <c r="G284" s="217" t="s">
        <v>13577</v>
      </c>
      <c r="H284" s="451" t="s">
        <v>16477</v>
      </c>
      <c r="I284" s="452" t="s">
        <v>1859</v>
      </c>
      <c r="J284" s="452" t="s">
        <v>12739</v>
      </c>
      <c r="K284" s="453" t="s">
        <v>16478</v>
      </c>
      <c r="L284" s="453" t="s">
        <v>16479</v>
      </c>
      <c r="M284" s="453" t="s">
        <v>15721</v>
      </c>
      <c r="N284" s="453" t="s">
        <v>15542</v>
      </c>
      <c r="O284" s="453" t="s">
        <v>15771</v>
      </c>
      <c r="P284" s="454" t="s">
        <v>499</v>
      </c>
      <c r="Q284" s="455" t="s">
        <v>15513</v>
      </c>
      <c r="R284" s="217" t="str">
        <f ca="1">IF(ISERROR($V284),"",OFFSET('Smelter Look-up'!$C$4,$V284-4,0)&amp;"")</f>
        <v>Metallo Spain S.L.U.</v>
      </c>
      <c r="S284" s="225" t="str">
        <f t="shared" ca="1" si="39"/>
        <v>ES</v>
      </c>
      <c r="T284" s="225" t="str">
        <f ca="1">IF(B284="","",IF(ISERROR(MATCH($J284,SorP!$B$1:$B$6230,0)),"",INDIRECT("'SorP'!$A$"&amp;MATCH($J284,SorP!$B$1:$B$6230,0))))</f>
        <v>ES-BI</v>
      </c>
      <c r="U284" s="241"/>
      <c r="V284" s="275">
        <f>IF(C284="",NA(),MATCH($B284&amp;$C284,'Smelter Look-up'!$J:$J,0))</f>
        <v>420</v>
      </c>
      <c r="W284" s="276"/>
      <c r="X284" s="276">
        <f t="shared" si="40"/>
        <v>0</v>
      </c>
      <c r="Y284" s="276"/>
      <c r="Z284" s="276"/>
      <c r="AB284" s="278" t="str">
        <f t="shared" si="41"/>
        <v>TinMetallo Spain S.L.U.</v>
      </c>
    </row>
    <row r="285" spans="1:28" s="277" customFormat="1" ht="49.5">
      <c r="A285" s="216" t="s">
        <v>16480</v>
      </c>
      <c r="B285" s="217" t="s">
        <v>1154</v>
      </c>
      <c r="C285" s="450" t="s">
        <v>16481</v>
      </c>
      <c r="D285" s="217"/>
      <c r="E285" s="217" t="s">
        <v>1128</v>
      </c>
      <c r="F285" s="217" t="s">
        <v>16480</v>
      </c>
      <c r="G285" s="217" t="s">
        <v>13577</v>
      </c>
      <c r="H285" s="451" t="s">
        <v>16482</v>
      </c>
      <c r="I285" s="452" t="s">
        <v>16483</v>
      </c>
      <c r="J285" s="452" t="s">
        <v>13183</v>
      </c>
      <c r="K285" s="453" t="s">
        <v>16484</v>
      </c>
      <c r="L285" s="453" t="s">
        <v>16485</v>
      </c>
      <c r="M285" s="453" t="s">
        <v>16486</v>
      </c>
      <c r="N285" s="453" t="s">
        <v>15542</v>
      </c>
      <c r="O285" s="453" t="s">
        <v>15807</v>
      </c>
      <c r="P285" s="454" t="s">
        <v>499</v>
      </c>
      <c r="Q285" s="455" t="s">
        <v>15513</v>
      </c>
      <c r="R285" s="217" t="str">
        <f ca="1">IF(ISERROR($V285),"",OFFSET('Smelter Look-up'!$C$4,$V285-4,0)&amp;"")</f>
        <v/>
      </c>
      <c r="S285" s="225" t="str">
        <f t="shared" ca="1" si="39"/>
        <v>ID</v>
      </c>
      <c r="T285" s="225" t="str">
        <f ca="1">IF(B285="","",IF(ISERROR(MATCH($J285,SorP!$B$1:$B$6230,0)),"",INDIRECT("'SorP'!$A$"&amp;MATCH($J285,SorP!$B$1:$B$6230,0))))</f>
        <v>ID-BB</v>
      </c>
      <c r="U285" s="241"/>
      <c r="V285" s="275" t="e">
        <f>IF(C285="",NA(),MATCH($B285&amp;$C285,'Smelter Look-up'!$J:$J,0))</f>
        <v>#N/A</v>
      </c>
      <c r="W285" s="276"/>
      <c r="X285" s="276">
        <f t="shared" si="40"/>
        <v>0</v>
      </c>
      <c r="Y285" s="276"/>
      <c r="Z285" s="276"/>
      <c r="AB285" s="278" t="str">
        <f t="shared" si="41"/>
        <v>TinPT Bangka Prima Tin</v>
      </c>
    </row>
    <row r="286" spans="1:28" s="277" customFormat="1" ht="24.75">
      <c r="A286" s="216" t="s">
        <v>2314</v>
      </c>
      <c r="B286" s="217" t="s">
        <v>1153</v>
      </c>
      <c r="C286" s="450" t="s">
        <v>2311</v>
      </c>
      <c r="D286" s="217"/>
      <c r="E286" s="217" t="s">
        <v>1124</v>
      </c>
      <c r="F286" s="217" t="s">
        <v>2314</v>
      </c>
      <c r="G286" s="217" t="s">
        <v>13577</v>
      </c>
      <c r="H286" s="451" t="s">
        <v>16487</v>
      </c>
      <c r="I286" s="452" t="s">
        <v>1809</v>
      </c>
      <c r="J286" s="452" t="s">
        <v>4386</v>
      </c>
      <c r="K286" s="453" t="s">
        <v>16488</v>
      </c>
      <c r="L286" s="453" t="s">
        <v>16489</v>
      </c>
      <c r="M286" s="453" t="s">
        <v>16490</v>
      </c>
      <c r="N286" s="453" t="s">
        <v>15542</v>
      </c>
      <c r="O286" s="453" t="s">
        <v>15771</v>
      </c>
      <c r="P286" s="454" t="s">
        <v>499</v>
      </c>
      <c r="Q286" s="455" t="s">
        <v>15520</v>
      </c>
      <c r="R286" s="217" t="str">
        <f ca="1">IF(ISERROR($V286),"",OFFSET('Smelter Look-up'!$C$4,$V286-4,0)&amp;"")</f>
        <v>SAXONIA Edelmetalle GmbH</v>
      </c>
      <c r="S286" s="225" t="str">
        <f t="shared" ca="1" si="39"/>
        <v>DE</v>
      </c>
      <c r="T286" s="225" t="str">
        <f ca="1">IF(B286="","",IF(ISERROR(MATCH($J286,SorP!$B$1:$B$6230,0)),"",INDIRECT("'SorP'!$A$"&amp;MATCH($J286,SorP!$B$1:$B$6230,0))))</f>
        <v>DE-SN</v>
      </c>
      <c r="U286" s="241"/>
      <c r="V286" s="275">
        <f>IF(C286="",NA(),MATCH($B286&amp;$C286,'Smelter Look-up'!$J:$J,0))</f>
        <v>212</v>
      </c>
      <c r="W286" s="276"/>
      <c r="X286" s="276">
        <f t="shared" si="40"/>
        <v>0</v>
      </c>
      <c r="Y286" s="276"/>
      <c r="Z286" s="276"/>
      <c r="AB286" s="278" t="str">
        <f t="shared" si="41"/>
        <v>GoldSAXONIA Edelmetalle GmbH</v>
      </c>
    </row>
    <row r="287" spans="1:28" s="277" customFormat="1" ht="49.5">
      <c r="A287" s="216" t="s">
        <v>2315</v>
      </c>
      <c r="B287" s="217" t="s">
        <v>1153</v>
      </c>
      <c r="C287" s="450" t="s">
        <v>2312</v>
      </c>
      <c r="D287" s="217"/>
      <c r="E287" s="217" t="s">
        <v>1124</v>
      </c>
      <c r="F287" s="217" t="s">
        <v>2315</v>
      </c>
      <c r="G287" s="217" t="s">
        <v>13577</v>
      </c>
      <c r="H287" s="451" t="s">
        <v>16491</v>
      </c>
      <c r="I287" s="452" t="s">
        <v>1572</v>
      </c>
      <c r="J287" s="452" t="s">
        <v>1573</v>
      </c>
      <c r="K287" s="453" t="s">
        <v>16492</v>
      </c>
      <c r="L287" s="453" t="s">
        <v>16493</v>
      </c>
      <c r="M287" s="453" t="s">
        <v>16177</v>
      </c>
      <c r="N287" s="453" t="s">
        <v>15542</v>
      </c>
      <c r="O287" s="453" t="s">
        <v>15771</v>
      </c>
      <c r="P287" s="454" t="s">
        <v>499</v>
      </c>
      <c r="Q287" s="455" t="s">
        <v>15520</v>
      </c>
      <c r="R287" s="217" t="str">
        <f ca="1">IF(ISERROR($V287),"",OFFSET('Smelter Look-up'!$C$4,$V287-4,0)&amp;"")</f>
        <v>WIELAND Edelmetalle GmbH</v>
      </c>
      <c r="S287" s="225" t="str">
        <f t="shared" ca="1" si="39"/>
        <v>DE</v>
      </c>
      <c r="T287" s="225" t="str">
        <f ca="1">IF(B287="","",IF(ISERROR(MATCH($J287,SorP!$B$1:$B$6230,0)),"",INDIRECT("'SorP'!$A$"&amp;MATCH($J287,SorP!$B$1:$B$6230,0))))</f>
        <v>DE-BW</v>
      </c>
      <c r="U287" s="241"/>
      <c r="V287" s="275">
        <f>IF(C287="",NA(),MATCH($B287&amp;$C287,'Smelter Look-up'!$J:$J,0))</f>
        <v>271</v>
      </c>
      <c r="W287" s="276"/>
      <c r="X287" s="276">
        <f t="shared" si="40"/>
        <v>0</v>
      </c>
      <c r="Y287" s="276"/>
      <c r="Z287" s="276"/>
      <c r="AB287" s="278" t="str">
        <f t="shared" si="41"/>
        <v>GoldWIELAND Edelmetalle GmbH</v>
      </c>
    </row>
    <row r="288" spans="1:28" s="277" customFormat="1" ht="24.75">
      <c r="A288" s="216" t="s">
        <v>2316</v>
      </c>
      <c r="B288" s="217" t="s">
        <v>1153</v>
      </c>
      <c r="C288" s="450" t="s">
        <v>12762</v>
      </c>
      <c r="D288" s="217"/>
      <c r="E288" s="217" t="s">
        <v>1117</v>
      </c>
      <c r="F288" s="217" t="s">
        <v>2316</v>
      </c>
      <c r="G288" s="217" t="s">
        <v>13577</v>
      </c>
      <c r="H288" s="451" t="s">
        <v>16494</v>
      </c>
      <c r="I288" s="452" t="s">
        <v>2317</v>
      </c>
      <c r="J288" s="452" t="s">
        <v>2956</v>
      </c>
      <c r="K288" s="453" t="s">
        <v>16495</v>
      </c>
      <c r="L288" s="453" t="s">
        <v>16496</v>
      </c>
      <c r="M288" s="453" t="s">
        <v>16497</v>
      </c>
      <c r="N288" s="453" t="s">
        <v>15511</v>
      </c>
      <c r="O288" s="453" t="s">
        <v>15814</v>
      </c>
      <c r="P288" s="454"/>
      <c r="Q288" s="455" t="s">
        <v>15513</v>
      </c>
      <c r="R288" s="217" t="str">
        <f ca="1">IF(ISERROR($V288),"",OFFSET('Smelter Look-up'!$C$4,$V288-4,0)&amp;"")</f>
        <v>Ogussa Osterreichische Gold- und Silber-Scheideanstalt GmbH</v>
      </c>
      <c r="S288" s="225" t="str">
        <f t="shared" ca="1" si="39"/>
        <v>AT</v>
      </c>
      <c r="T288" s="225" t="str">
        <f ca="1">IF(B288="","",IF(ISERROR(MATCH($J288,SorP!$B$1:$B$6230,0)),"",INDIRECT("'SorP'!$A$"&amp;MATCH($J288,SorP!$B$1:$B$6230,0))))</f>
        <v>AT-9</v>
      </c>
      <c r="U288" s="241"/>
      <c r="V288" s="275">
        <f>IF(C288="",NA(),MATCH($B288&amp;$C288,'Smelter Look-up'!$J:$J,0))</f>
        <v>178</v>
      </c>
      <c r="W288" s="276"/>
      <c r="X288" s="276">
        <f t="shared" si="40"/>
        <v>0</v>
      </c>
      <c r="Y288" s="276"/>
      <c r="Z288" s="276"/>
      <c r="AB288" s="278" t="str">
        <f t="shared" si="41"/>
        <v>GoldOgussa Osterreichische Gold- und Silber-Scheideanstalt GmbH</v>
      </c>
    </row>
    <row r="289" spans="1:28" s="277" customFormat="1" ht="24.75">
      <c r="A289" s="216" t="s">
        <v>2394</v>
      </c>
      <c r="B289" s="217" t="s">
        <v>1156</v>
      </c>
      <c r="C289" s="450" t="s">
        <v>2393</v>
      </c>
      <c r="D289" s="217"/>
      <c r="E289" s="217" t="s">
        <v>1123</v>
      </c>
      <c r="F289" s="217" t="s">
        <v>2394</v>
      </c>
      <c r="G289" s="217" t="s">
        <v>13577</v>
      </c>
      <c r="H289" s="451" t="s">
        <v>16498</v>
      </c>
      <c r="I289" s="452" t="s">
        <v>1777</v>
      </c>
      <c r="J289" s="452" t="s">
        <v>15580</v>
      </c>
      <c r="K289" s="453" t="s">
        <v>16499</v>
      </c>
      <c r="L289" s="453" t="s">
        <v>16500</v>
      </c>
      <c r="M289" s="453" t="s">
        <v>16501</v>
      </c>
      <c r="N289" s="453" t="s">
        <v>15511</v>
      </c>
      <c r="O289" s="453" t="s">
        <v>15807</v>
      </c>
      <c r="P289" s="454" t="s">
        <v>499</v>
      </c>
      <c r="Q289" s="455" t="s">
        <v>15513</v>
      </c>
      <c r="R289" s="217" t="str">
        <f ca="1">IF(ISERROR($V289),"",OFFSET('Smelter Look-up'!$C$4,$V289-4,0)&amp;"")</f>
        <v>South-East Nonferrous Metal Company Limited of Hengyang City</v>
      </c>
      <c r="S289" s="225" t="str">
        <f t="shared" ca="1" si="39"/>
        <v>CN</v>
      </c>
      <c r="T289" s="225" t="str">
        <f ca="1">IF(B289="","",IF(ISERROR(MATCH($J289,SorP!$B$1:$B$6230,0)),"",INDIRECT("'SorP'!$A$"&amp;MATCH($J289,SorP!$B$1:$B$6230,0))))</f>
        <v/>
      </c>
      <c r="U289" s="241"/>
      <c r="V289" s="275">
        <f>IF(C289="",NA(),MATCH($B289&amp;$C289,'Smelter Look-up'!$J:$J,0))</f>
        <v>575</v>
      </c>
      <c r="W289" s="276"/>
      <c r="X289" s="276">
        <f t="shared" si="40"/>
        <v>0</v>
      </c>
      <c r="Y289" s="276"/>
      <c r="Z289" s="276"/>
      <c r="AB289" s="278" t="str">
        <f t="shared" si="41"/>
        <v>TungstenSouth-East Nonferrous Metal Company Limited of Hengyang City</v>
      </c>
    </row>
    <row r="290" spans="1:28" s="277" customFormat="1" ht="61.9">
      <c r="A290" s="216" t="s">
        <v>16502</v>
      </c>
      <c r="B290" s="217" t="s">
        <v>1154</v>
      </c>
      <c r="C290" s="450" t="s">
        <v>16503</v>
      </c>
      <c r="D290" s="217"/>
      <c r="E290" s="217" t="s">
        <v>1128</v>
      </c>
      <c r="F290" s="217" t="s">
        <v>16502</v>
      </c>
      <c r="G290" s="217" t="s">
        <v>13577</v>
      </c>
      <c r="H290" s="451" t="s">
        <v>16504</v>
      </c>
      <c r="I290" s="452" t="s">
        <v>16505</v>
      </c>
      <c r="J290" s="452" t="s">
        <v>13183</v>
      </c>
      <c r="K290" s="453" t="s">
        <v>16506</v>
      </c>
      <c r="L290" s="453" t="s">
        <v>16507</v>
      </c>
      <c r="M290" s="453" t="s">
        <v>16508</v>
      </c>
      <c r="N290" s="453" t="s">
        <v>15511</v>
      </c>
      <c r="O290" s="453" t="s">
        <v>15807</v>
      </c>
      <c r="P290" s="454" t="s">
        <v>499</v>
      </c>
      <c r="Q290" s="455" t="s">
        <v>15513</v>
      </c>
      <c r="R290" s="217" t="str">
        <f ca="1">IF(ISERROR($V290),"",OFFSET('Smelter Look-up'!$C$4,$V290-4,0)&amp;"")</f>
        <v/>
      </c>
      <c r="S290" s="225" t="str">
        <f t="shared" ca="1" si="39"/>
        <v>ID</v>
      </c>
      <c r="T290" s="225" t="str">
        <f ca="1">IF(B290="","",IF(ISERROR(MATCH($J290,SorP!$B$1:$B$6230,0)),"",INDIRECT("'SorP'!$A$"&amp;MATCH($J290,SorP!$B$1:$B$6230,0))))</f>
        <v>ID-BB</v>
      </c>
      <c r="U290" s="241"/>
      <c r="V290" s="275" t="e">
        <f>IF(C290="",NA(),MATCH($B290&amp;$C290,'Smelter Look-up'!$J:$J,0))</f>
        <v>#N/A</v>
      </c>
      <c r="W290" s="276"/>
      <c r="X290" s="276">
        <f t="shared" si="40"/>
        <v>0</v>
      </c>
      <c r="Y290" s="276"/>
      <c r="Z290" s="276"/>
      <c r="AB290" s="278" t="str">
        <f t="shared" si="41"/>
        <v>TinPT Sukses Inti Makmur</v>
      </c>
    </row>
    <row r="291" spans="1:28" s="277" customFormat="1" ht="49.5">
      <c r="A291" s="216" t="s">
        <v>2390</v>
      </c>
      <c r="B291" s="217" t="s">
        <v>1156</v>
      </c>
      <c r="C291" s="450" t="s">
        <v>2473</v>
      </c>
      <c r="D291" s="217"/>
      <c r="E291" s="217" t="s">
        <v>904</v>
      </c>
      <c r="F291" s="217" t="s">
        <v>2390</v>
      </c>
      <c r="G291" s="217" t="s">
        <v>13577</v>
      </c>
      <c r="H291" s="451" t="s">
        <v>16509</v>
      </c>
      <c r="I291" s="452" t="s">
        <v>2391</v>
      </c>
      <c r="J291" s="452" t="s">
        <v>2392</v>
      </c>
      <c r="K291" s="453" t="s">
        <v>16510</v>
      </c>
      <c r="L291" s="453" t="s">
        <v>16511</v>
      </c>
      <c r="M291" s="453" t="s">
        <v>16512</v>
      </c>
      <c r="N291" s="453" t="s">
        <v>15518</v>
      </c>
      <c r="O291" s="453" t="s">
        <v>15519</v>
      </c>
      <c r="P291" s="454" t="s">
        <v>498</v>
      </c>
      <c r="Q291" s="455" t="s">
        <v>15520</v>
      </c>
      <c r="R291" s="217" t="str">
        <f ca="1">IF(ISERROR($V291),"",OFFSET('Smelter Look-up'!$C$4,$V291-4,0)&amp;"")</f>
        <v>Philippine Chuangxin Industrial Co., Inc.</v>
      </c>
      <c r="S291" s="225" t="str">
        <f t="shared" ca="1" si="39"/>
        <v>PH</v>
      </c>
      <c r="T291" s="225" t="str">
        <f ca="1">IF(B291="","",IF(ISERROR(MATCH($J291,SorP!$B$1:$B$6230,0)),"",INDIRECT("'SorP'!$A$"&amp;MATCH($J291,SorP!$B$1:$B$6230,0))))</f>
        <v>PH-BUL</v>
      </c>
      <c r="U291" s="241"/>
      <c r="V291" s="275">
        <f>IF(C291="",NA(),MATCH($B291&amp;$C291,'Smelter Look-up'!$J:$J,0))</f>
        <v>547</v>
      </c>
      <c r="W291" s="276"/>
      <c r="X291" s="276">
        <f t="shared" si="40"/>
        <v>0</v>
      </c>
      <c r="Y291" s="276"/>
      <c r="Z291" s="276"/>
      <c r="AB291" s="278" t="str">
        <f t="shared" si="41"/>
        <v>TungstenPhilippine Chuangxin Industrial Co., Inc.</v>
      </c>
    </row>
    <row r="292" spans="1:28" s="277" customFormat="1" ht="74.25">
      <c r="A292" s="216" t="s">
        <v>16513</v>
      </c>
      <c r="B292" s="217" t="s">
        <v>1154</v>
      </c>
      <c r="C292" s="450" t="s">
        <v>16514</v>
      </c>
      <c r="D292" s="217"/>
      <c r="E292" s="217" t="s">
        <v>1128</v>
      </c>
      <c r="F292" s="217" t="s">
        <v>16513</v>
      </c>
      <c r="G292" s="217" t="s">
        <v>13577</v>
      </c>
      <c r="H292" s="451" t="s">
        <v>16515</v>
      </c>
      <c r="I292" s="452" t="s">
        <v>1805</v>
      </c>
      <c r="J292" s="452" t="s">
        <v>13183</v>
      </c>
      <c r="K292" s="453" t="s">
        <v>16516</v>
      </c>
      <c r="L292" s="453" t="s">
        <v>16517</v>
      </c>
      <c r="M292" s="453" t="s">
        <v>16518</v>
      </c>
      <c r="N292" s="453" t="s">
        <v>15511</v>
      </c>
      <c r="O292" s="453" t="s">
        <v>15807</v>
      </c>
      <c r="P292" s="454" t="s">
        <v>499</v>
      </c>
      <c r="Q292" s="455" t="s">
        <v>15513</v>
      </c>
      <c r="R292" s="217" t="str">
        <f ca="1">IF(ISERROR($V292),"",OFFSET('Smelter Look-up'!$C$4,$V292-4,0)&amp;"")</f>
        <v/>
      </c>
      <c r="S292" s="225" t="str">
        <f t="shared" ca="1" si="39"/>
        <v>ID</v>
      </c>
      <c r="T292" s="225" t="str">
        <f ca="1">IF(B292="","",IF(ISERROR(MATCH($J292,SorP!$B$1:$B$6230,0)),"",INDIRECT("'SorP'!$A$"&amp;MATCH($J292,SorP!$B$1:$B$6230,0))))</f>
        <v>ID-BB</v>
      </c>
      <c r="U292" s="241"/>
      <c r="V292" s="275" t="e">
        <f>IF(C292="",NA(),MATCH($B292&amp;$C292,'Smelter Look-up'!$J:$J,0))</f>
        <v>#N/A</v>
      </c>
      <c r="W292" s="276"/>
      <c r="X292" s="276">
        <f t="shared" si="40"/>
        <v>0</v>
      </c>
      <c r="Y292" s="276"/>
      <c r="Z292" s="276"/>
      <c r="AB292" s="278" t="str">
        <f t="shared" si="41"/>
        <v>TinPT Kijang Jaya Mandiri</v>
      </c>
    </row>
    <row r="293" spans="1:28" s="277" customFormat="1" ht="37.15">
      <c r="A293" s="216" t="s">
        <v>2398</v>
      </c>
      <c r="B293" s="217" t="s">
        <v>1156</v>
      </c>
      <c r="C293" s="450" t="s">
        <v>2397</v>
      </c>
      <c r="D293" s="217"/>
      <c r="E293" s="217" t="s">
        <v>1123</v>
      </c>
      <c r="F293" s="217" t="s">
        <v>2398</v>
      </c>
      <c r="G293" s="217" t="s">
        <v>13577</v>
      </c>
      <c r="H293" s="451" t="s">
        <v>16519</v>
      </c>
      <c r="I293" s="452" t="s">
        <v>1812</v>
      </c>
      <c r="J293" s="452" t="s">
        <v>15601</v>
      </c>
      <c r="K293" s="453" t="s">
        <v>16520</v>
      </c>
      <c r="L293" s="453" t="s">
        <v>16521</v>
      </c>
      <c r="M293" s="453" t="s">
        <v>16522</v>
      </c>
      <c r="N293" s="453" t="s">
        <v>15511</v>
      </c>
      <c r="O293" s="453" t="s">
        <v>15807</v>
      </c>
      <c r="P293" s="454" t="s">
        <v>499</v>
      </c>
      <c r="Q293" s="455" t="s">
        <v>15513</v>
      </c>
      <c r="R293" s="217" t="str">
        <f ca="1">IF(ISERROR($V293),"",OFFSET('Smelter Look-up'!$C$4,$V293-4,0)&amp;"")</f>
        <v>Xinfeng Huarui Tungsten &amp; Molybdenum New Material Co., Ltd.</v>
      </c>
      <c r="S293" s="225" t="str">
        <f t="shared" ca="1" si="39"/>
        <v>CN</v>
      </c>
      <c r="T293" s="225" t="str">
        <f ca="1">IF(B293="","",IF(ISERROR(MATCH($J293,SorP!$B$1:$B$6230,0)),"",INDIRECT("'SorP'!$A$"&amp;MATCH($J293,SorP!$B$1:$B$6230,0))))</f>
        <v/>
      </c>
      <c r="U293" s="241"/>
      <c r="V293" s="275">
        <f>IF(C293="",NA(),MATCH($B293&amp;$C293,'Smelter Look-up'!$J:$J,0))</f>
        <v>559</v>
      </c>
      <c r="W293" s="276"/>
      <c r="X293" s="276">
        <f t="shared" si="40"/>
        <v>0</v>
      </c>
      <c r="Y293" s="276"/>
      <c r="Z293" s="276"/>
      <c r="AB293" s="278" t="str">
        <f t="shared" si="41"/>
        <v>TungstenXinfeng Huarui Tungsten &amp; Molybdenum New Material Co., Ltd.</v>
      </c>
    </row>
    <row r="294" spans="1:28" s="277" customFormat="1" ht="24.75">
      <c r="A294" s="216" t="s">
        <v>2382</v>
      </c>
      <c r="B294" s="217" t="s">
        <v>1156</v>
      </c>
      <c r="C294" s="450" t="s">
        <v>2381</v>
      </c>
      <c r="D294" s="217"/>
      <c r="E294" s="217" t="s">
        <v>1119</v>
      </c>
      <c r="F294" s="217" t="s">
        <v>2382</v>
      </c>
      <c r="G294" s="217" t="s">
        <v>13577</v>
      </c>
      <c r="H294" s="451" t="s">
        <v>16523</v>
      </c>
      <c r="I294" s="452" t="s">
        <v>2383</v>
      </c>
      <c r="J294" s="452" t="s">
        <v>1708</v>
      </c>
      <c r="K294" s="453" t="s">
        <v>16524</v>
      </c>
      <c r="L294" s="453" t="s">
        <v>16525</v>
      </c>
      <c r="M294" s="453" t="s">
        <v>15554</v>
      </c>
      <c r="N294" s="453" t="s">
        <v>15511</v>
      </c>
      <c r="O294" s="453" t="s">
        <v>15807</v>
      </c>
      <c r="P294" s="454" t="s">
        <v>499</v>
      </c>
      <c r="Q294" s="455" t="s">
        <v>15513</v>
      </c>
      <c r="R294" s="217" t="str">
        <f ca="1">IF(ISERROR($V294),"",OFFSET('Smelter Look-up'!$C$4,$V294-4,0)&amp;"")</f>
        <v>ACL Metais Eireli</v>
      </c>
      <c r="S294" s="225" t="str">
        <f t="shared" ref="S294:S324" ca="1" si="42">IF(B294="","",IF(ISERROR(MATCH($E294,CL,0)),"Unknown",INDIRECT("'C'!$A$"&amp;MATCH($E294,CL,0)+1)))</f>
        <v>BR</v>
      </c>
      <c r="T294" s="225" t="str">
        <f ca="1">IF(B294="","",IF(ISERROR(MATCH($J294,SorP!$B$1:$B$6230,0)),"",INDIRECT("'SorP'!$A$"&amp;MATCH($J294,SorP!$B$1:$B$6230,0))))</f>
        <v>BR-SP</v>
      </c>
      <c r="U294" s="241"/>
      <c r="V294" s="275">
        <f>IF(C294="",NA(),MATCH($B294&amp;$C294,'Smelter Look-up'!$J:$J,0))</f>
        <v>488</v>
      </c>
      <c r="W294" s="276"/>
      <c r="X294" s="276">
        <f t="shared" ref="X294:X324" si="43">IF(AND(C294="Smelter not listed",OR(LEN(D294)=0,LEN(E294)=0)),1,0)</f>
        <v>0</v>
      </c>
      <c r="Y294" s="276"/>
      <c r="Z294" s="276"/>
      <c r="AB294" s="278" t="str">
        <f t="shared" ref="AB294:AB324" si="44">B294&amp;C294</f>
        <v>TungstenACL Metais Eireli</v>
      </c>
    </row>
    <row r="295" spans="1:28" s="277" customFormat="1" ht="61.9">
      <c r="A295" s="216" t="s">
        <v>16526</v>
      </c>
      <c r="B295" s="217" t="s">
        <v>1154</v>
      </c>
      <c r="C295" s="450" t="s">
        <v>16527</v>
      </c>
      <c r="D295" s="217"/>
      <c r="E295" s="217" t="s">
        <v>1128</v>
      </c>
      <c r="F295" s="217" t="s">
        <v>16526</v>
      </c>
      <c r="G295" s="217" t="s">
        <v>13577</v>
      </c>
      <c r="H295" s="451" t="s">
        <v>16528</v>
      </c>
      <c r="I295" s="452" t="s">
        <v>16529</v>
      </c>
      <c r="J295" s="452" t="s">
        <v>13183</v>
      </c>
      <c r="K295" s="453" t="s">
        <v>16294</v>
      </c>
      <c r="L295" s="453" t="s">
        <v>16295</v>
      </c>
      <c r="M295" s="453" t="s">
        <v>16530</v>
      </c>
      <c r="N295" s="453" t="s">
        <v>15511</v>
      </c>
      <c r="O295" s="453" t="s">
        <v>15807</v>
      </c>
      <c r="P295" s="454" t="s">
        <v>499</v>
      </c>
      <c r="Q295" s="455" t="s">
        <v>15513</v>
      </c>
      <c r="R295" s="217" t="str">
        <f ca="1">IF(ISERROR($V295),"",OFFSET('Smelter Look-up'!$C$4,$V295-4,0)&amp;"")</f>
        <v/>
      </c>
      <c r="S295" s="225" t="str">
        <f t="shared" ca="1" si="42"/>
        <v>ID</v>
      </c>
      <c r="T295" s="225" t="str">
        <f ca="1">IF(B295="","",IF(ISERROR(MATCH($J295,SorP!$B$1:$B$6230,0)),"",INDIRECT("'SorP'!$A$"&amp;MATCH($J295,SorP!$B$1:$B$6230,0))))</f>
        <v>ID-BB</v>
      </c>
      <c r="U295" s="241"/>
      <c r="V295" s="275" t="e">
        <f>IF(C295="",NA(),MATCH($B295&amp;$C295,'Smelter Look-up'!$J:$J,0))</f>
        <v>#N/A</v>
      </c>
      <c r="W295" s="276"/>
      <c r="X295" s="276">
        <f t="shared" si="43"/>
        <v>0</v>
      </c>
      <c r="Y295" s="276"/>
      <c r="Z295" s="276"/>
      <c r="AB295" s="278" t="str">
        <f t="shared" si="44"/>
        <v>TinPT Menara Cipta Mulia</v>
      </c>
    </row>
    <row r="296" spans="1:28" s="277" customFormat="1" ht="24.75">
      <c r="A296" s="216" t="s">
        <v>2387</v>
      </c>
      <c r="B296" s="217" t="s">
        <v>1155</v>
      </c>
      <c r="C296" s="450" t="s">
        <v>2386</v>
      </c>
      <c r="D296" s="217"/>
      <c r="E296" s="217" t="s">
        <v>1123</v>
      </c>
      <c r="F296" s="217" t="s">
        <v>2387</v>
      </c>
      <c r="G296" s="217" t="s">
        <v>13577</v>
      </c>
      <c r="H296" s="451" t="s">
        <v>16531</v>
      </c>
      <c r="I296" s="452" t="s">
        <v>1776</v>
      </c>
      <c r="J296" s="452" t="s">
        <v>15601</v>
      </c>
      <c r="K296" s="453" t="s">
        <v>16532</v>
      </c>
      <c r="L296" s="453" t="s">
        <v>16533</v>
      </c>
      <c r="M296" s="453" t="s">
        <v>16534</v>
      </c>
      <c r="N296" s="453" t="s">
        <v>15511</v>
      </c>
      <c r="O296" s="453" t="s">
        <v>15807</v>
      </c>
      <c r="P296" s="454" t="s">
        <v>499</v>
      </c>
      <c r="Q296" s="455" t="s">
        <v>15520</v>
      </c>
      <c r="R296" s="217" t="str">
        <f ca="1">IF(ISERROR($V296),"",OFFSET('Smelter Look-up'!$C$4,$V296-4,0)&amp;"")</f>
        <v>Jiangxi Tuohong New Raw Material</v>
      </c>
      <c r="S296" s="225" t="str">
        <f t="shared" ca="1" si="42"/>
        <v>CN</v>
      </c>
      <c r="T296" s="225" t="str">
        <f ca="1">IF(B296="","",IF(ISERROR(MATCH($J296,SorP!$B$1:$B$6230,0)),"",INDIRECT("'SorP'!$A$"&amp;MATCH($J296,SorP!$B$1:$B$6230,0))))</f>
        <v/>
      </c>
      <c r="U296" s="241"/>
      <c r="V296" s="275">
        <f>IF(C296="",NA(),MATCH($B296&amp;$C296,'Smelter Look-up'!$J:$J,0))</f>
        <v>315</v>
      </c>
      <c r="W296" s="276"/>
      <c r="X296" s="276">
        <f t="shared" si="43"/>
        <v>0</v>
      </c>
      <c r="Y296" s="276"/>
      <c r="Z296" s="276"/>
      <c r="AB296" s="278" t="str">
        <f t="shared" si="44"/>
        <v>TantalumJiangxi Tuohong New Raw Material</v>
      </c>
    </row>
    <row r="297" spans="1:28" s="277" customFormat="1" ht="49.5">
      <c r="A297" s="216" t="s">
        <v>2396</v>
      </c>
      <c r="B297" s="217" t="s">
        <v>1156</v>
      </c>
      <c r="C297" s="450" t="s">
        <v>2395</v>
      </c>
      <c r="D297" s="217"/>
      <c r="E297" s="217" t="s">
        <v>1134</v>
      </c>
      <c r="F297" s="217" t="s">
        <v>2396</v>
      </c>
      <c r="G297" s="217" t="s">
        <v>13577</v>
      </c>
      <c r="H297" s="451" t="s">
        <v>16535</v>
      </c>
      <c r="I297" s="452" t="s">
        <v>13279</v>
      </c>
      <c r="J297" s="452" t="s">
        <v>13203</v>
      </c>
      <c r="K297" s="453" t="s">
        <v>16536</v>
      </c>
      <c r="L297" s="453" t="s">
        <v>16537</v>
      </c>
      <c r="M297" s="453" t="s">
        <v>16280</v>
      </c>
      <c r="N297" s="453" t="s">
        <v>15511</v>
      </c>
      <c r="O297" s="453" t="s">
        <v>15807</v>
      </c>
      <c r="P297" s="454" t="s">
        <v>499</v>
      </c>
      <c r="Q297" s="455" t="s">
        <v>15513</v>
      </c>
      <c r="R297" s="217" t="str">
        <f ca="1">IF(ISERROR($V297),"",OFFSET('Smelter Look-up'!$C$4,$V297-4,0)&amp;"")</f>
        <v>Woltech Korea Co., Ltd.</v>
      </c>
      <c r="S297" s="225" t="str">
        <f t="shared" ca="1" si="42"/>
        <v>KR</v>
      </c>
      <c r="T297" s="225" t="str">
        <f ca="1">IF(B297="","",IF(ISERROR(MATCH($J297,SorP!$B$1:$B$6230,0)),"",INDIRECT("'SorP'!$A$"&amp;MATCH($J297,SorP!$B$1:$B$6230,0))))</f>
        <v>KR-47</v>
      </c>
      <c r="U297" s="241"/>
      <c r="V297" s="275">
        <f>IF(C297="",NA(),MATCH($B297&amp;$C297,'Smelter Look-up'!$J:$J,0))</f>
        <v>555</v>
      </c>
      <c r="W297" s="276"/>
      <c r="X297" s="276">
        <f t="shared" si="43"/>
        <v>0</v>
      </c>
      <c r="Y297" s="276"/>
      <c r="Z297" s="276"/>
      <c r="AB297" s="278" t="str">
        <f t="shared" si="44"/>
        <v>TungstenWoltech Korea Co., Ltd.</v>
      </c>
    </row>
    <row r="298" spans="1:28" s="277" customFormat="1" ht="49.5">
      <c r="A298" s="216" t="s">
        <v>2402</v>
      </c>
      <c r="B298" s="217" t="s">
        <v>1154</v>
      </c>
      <c r="C298" s="450" t="s">
        <v>2401</v>
      </c>
      <c r="D298" s="217"/>
      <c r="E298" s="217" t="s">
        <v>1123</v>
      </c>
      <c r="F298" s="217" t="s">
        <v>2402</v>
      </c>
      <c r="G298" s="217" t="s">
        <v>13577</v>
      </c>
      <c r="H298" s="451" t="s">
        <v>16538</v>
      </c>
      <c r="I298" s="452" t="s">
        <v>1812</v>
      </c>
      <c r="J298" s="452" t="s">
        <v>15601</v>
      </c>
      <c r="K298" s="453" t="s">
        <v>16539</v>
      </c>
      <c r="L298" s="453" t="s">
        <v>16540</v>
      </c>
      <c r="M298" s="453" t="s">
        <v>15694</v>
      </c>
      <c r="N298" s="453" t="s">
        <v>15511</v>
      </c>
      <c r="O298" s="453" t="s">
        <v>15807</v>
      </c>
      <c r="P298" s="454" t="s">
        <v>499</v>
      </c>
      <c r="Q298" s="455" t="s">
        <v>15513</v>
      </c>
      <c r="R298" s="217" t="str">
        <f ca="1">IF(ISERROR($V298),"",OFFSET('Smelter Look-up'!$C$4,$V298-4,0)&amp;"")</f>
        <v>HuiChang Hill Tin Industry Co., Ltd.</v>
      </c>
      <c r="S298" s="225" t="str">
        <f t="shared" ca="1" si="42"/>
        <v>CN</v>
      </c>
      <c r="T298" s="225" t="str">
        <f ca="1">IF(B298="","",IF(ISERROR(MATCH($J298,SorP!$B$1:$B$6230,0)),"",INDIRECT("'SorP'!$A$"&amp;MATCH($J298,SorP!$B$1:$B$6230,0))))</f>
        <v/>
      </c>
      <c r="U298" s="241"/>
      <c r="V298" s="275">
        <f>IF(C298="",NA(),MATCH($B298&amp;$C298,'Smelter Look-up'!$J:$J,0))</f>
        <v>399</v>
      </c>
      <c r="W298" s="276"/>
      <c r="X298" s="276">
        <f t="shared" si="43"/>
        <v>0</v>
      </c>
      <c r="Y298" s="276"/>
      <c r="Z298" s="276"/>
      <c r="AB298" s="278" t="str">
        <f t="shared" si="44"/>
        <v>TinHuiChang Hill Tin Industry Co., Ltd.</v>
      </c>
    </row>
    <row r="299" spans="1:28" s="277" customFormat="1" ht="37.15">
      <c r="A299" s="216" t="s">
        <v>2388</v>
      </c>
      <c r="B299" s="217" t="s">
        <v>1156</v>
      </c>
      <c r="C299" s="450" t="s">
        <v>2688</v>
      </c>
      <c r="D299" s="217"/>
      <c r="E299" s="217" t="s">
        <v>906</v>
      </c>
      <c r="F299" s="217" t="s">
        <v>2388</v>
      </c>
      <c r="G299" s="217" t="s">
        <v>13577</v>
      </c>
      <c r="H299" s="451" t="s">
        <v>16541</v>
      </c>
      <c r="I299" s="452" t="s">
        <v>2389</v>
      </c>
      <c r="J299" s="452" t="s">
        <v>10284</v>
      </c>
      <c r="K299" s="453" t="s">
        <v>16542</v>
      </c>
      <c r="L299" s="453" t="s">
        <v>16543</v>
      </c>
      <c r="M299" s="453" t="s">
        <v>16544</v>
      </c>
      <c r="N299" s="453" t="s">
        <v>15511</v>
      </c>
      <c r="O299" s="453" t="s">
        <v>15807</v>
      </c>
      <c r="P299" s="454" t="s">
        <v>499</v>
      </c>
      <c r="Q299" s="455" t="s">
        <v>15513</v>
      </c>
      <c r="R299" s="217" t="str">
        <f ca="1">IF(ISERROR($V299),"",OFFSET('Smelter Look-up'!$C$4,$V299-4,0)&amp;"")</f>
        <v>Moliren Ltd.</v>
      </c>
      <c r="S299" s="225" t="str">
        <f t="shared" ca="1" si="42"/>
        <v>RU</v>
      </c>
      <c r="T299" s="225" t="str">
        <f ca="1">IF(B299="","",IF(ISERROR(MATCH($J299,SorP!$B$1:$B$6230,0)),"",INDIRECT("'SorP'!$A$"&amp;MATCH($J299,SorP!$B$1:$B$6230,0))))</f>
        <v>RU-MOS</v>
      </c>
      <c r="U299" s="241"/>
      <c r="V299" s="275">
        <f>IF(C299="",NA(),MATCH($B299&amp;$C299,'Smelter Look-up'!$J:$J,0))</f>
        <v>543</v>
      </c>
      <c r="W299" s="276"/>
      <c r="X299" s="276">
        <f t="shared" si="43"/>
        <v>0</v>
      </c>
      <c r="Y299" s="276"/>
      <c r="Z299" s="276"/>
      <c r="AB299" s="278" t="str">
        <f t="shared" si="44"/>
        <v>TungstenMoliren Ltd.</v>
      </c>
    </row>
    <row r="300" spans="1:28" s="277" customFormat="1" ht="37.15">
      <c r="A300" s="216" t="s">
        <v>2462</v>
      </c>
      <c r="B300" s="217" t="s">
        <v>1155</v>
      </c>
      <c r="C300" s="450" t="s">
        <v>2493</v>
      </c>
      <c r="D300" s="217"/>
      <c r="E300" s="217" t="s">
        <v>16545</v>
      </c>
      <c r="F300" s="217" t="s">
        <v>2462</v>
      </c>
      <c r="G300" s="217" t="s">
        <v>13577</v>
      </c>
      <c r="H300" s="451" t="s">
        <v>14249</v>
      </c>
      <c r="I300" s="452" t="s">
        <v>2481</v>
      </c>
      <c r="J300" s="452" t="s">
        <v>2481</v>
      </c>
      <c r="K300" s="453" t="s">
        <v>14249</v>
      </c>
      <c r="L300" s="453" t="s">
        <v>14249</v>
      </c>
      <c r="M300" s="453" t="s">
        <v>14249</v>
      </c>
      <c r="N300" s="453" t="s">
        <v>14249</v>
      </c>
      <c r="O300" s="453" t="s">
        <v>14249</v>
      </c>
      <c r="P300" s="454" t="s">
        <v>14249</v>
      </c>
      <c r="Q300" s="455" t="s">
        <v>14249</v>
      </c>
      <c r="R300" s="217" t="str">
        <f ca="1">IF(ISERROR($V300),"",OFFSET('Smelter Look-up'!$C$4,$V300-4,0)&amp;"")</f>
        <v>PRG Dooel</v>
      </c>
      <c r="S300" s="225" t="str">
        <f t="shared" ca="1" si="42"/>
        <v>Unknown</v>
      </c>
      <c r="T300" s="225" t="str">
        <f ca="1">IF(B300="","",IF(ISERROR(MATCH($J300,SorP!$B$1:$B$6230,0)),"",INDIRECT("'SorP'!$A$"&amp;MATCH($J300,SorP!$B$1:$B$6230,0))))</f>
        <v>MK-85</v>
      </c>
      <c r="U300" s="241"/>
      <c r="V300" s="275">
        <f>IF(C300="",NA(),MATCH($B300&amp;$C300,'Smelter Look-up'!$J:$J,0))</f>
        <v>334</v>
      </c>
      <c r="W300" s="276"/>
      <c r="X300" s="276">
        <f t="shared" si="43"/>
        <v>0</v>
      </c>
      <c r="Y300" s="276"/>
      <c r="Z300" s="276"/>
      <c r="AB300" s="278" t="str">
        <f t="shared" si="44"/>
        <v>TantalumPower Resources Ltd.</v>
      </c>
    </row>
    <row r="301" spans="1:28" s="277" customFormat="1" ht="24.75">
      <c r="A301" s="216" t="s">
        <v>16546</v>
      </c>
      <c r="B301" s="217" t="s">
        <v>1154</v>
      </c>
      <c r="C301" s="450" t="s">
        <v>16547</v>
      </c>
      <c r="D301" s="217"/>
      <c r="E301" s="217" t="s">
        <v>1123</v>
      </c>
      <c r="F301" s="217" t="s">
        <v>16546</v>
      </c>
      <c r="G301" s="217" t="s">
        <v>13577</v>
      </c>
      <c r="H301" s="451" t="s">
        <v>16548</v>
      </c>
      <c r="I301" s="452" t="s">
        <v>2590</v>
      </c>
      <c r="J301" s="452" t="s">
        <v>15578</v>
      </c>
      <c r="K301" s="453" t="s">
        <v>16549</v>
      </c>
      <c r="L301" s="453" t="s">
        <v>16550</v>
      </c>
      <c r="M301" s="453" t="s">
        <v>16551</v>
      </c>
      <c r="N301" s="453" t="s">
        <v>15511</v>
      </c>
      <c r="O301" s="453" t="s">
        <v>15807</v>
      </c>
      <c r="P301" s="454" t="s">
        <v>499</v>
      </c>
      <c r="Q301" s="455" t="s">
        <v>15513</v>
      </c>
      <c r="R301" s="217" t="str">
        <f ca="1">IF(ISERROR($V301),"",OFFSET('Smelter Look-up'!$C$4,$V301-4,0)&amp;"")</f>
        <v/>
      </c>
      <c r="S301" s="225" t="str">
        <f t="shared" ca="1" si="42"/>
        <v>CN</v>
      </c>
      <c r="T301" s="225" t="str">
        <f ca="1">IF(B301="","",IF(ISERROR(MATCH($J301,SorP!$B$1:$B$6230,0)),"",INDIRECT("'SorP'!$A$"&amp;MATCH($J301,SorP!$B$1:$B$6230,0))))</f>
        <v/>
      </c>
      <c r="U301" s="241"/>
      <c r="V301" s="275" t="e">
        <f>IF(C301="",NA(),MATCH($B301&amp;$C301,'Smelter Look-up'!$J:$J,0))</f>
        <v>#N/A</v>
      </c>
      <c r="W301" s="276"/>
      <c r="X301" s="276">
        <f t="shared" si="43"/>
        <v>0</v>
      </c>
      <c r="Y301" s="276"/>
      <c r="Z301" s="276"/>
      <c r="AB301" s="278" t="str">
        <f t="shared" si="44"/>
        <v>TinGejiu Fengming Metallurgy Chemical Plant</v>
      </c>
    </row>
    <row r="302" spans="1:28" s="277" customFormat="1" ht="49.5">
      <c r="A302" s="216" t="s">
        <v>2379</v>
      </c>
      <c r="B302" s="217" t="s">
        <v>1154</v>
      </c>
      <c r="C302" s="450" t="s">
        <v>2378</v>
      </c>
      <c r="D302" s="217"/>
      <c r="E302" s="217" t="s">
        <v>1123</v>
      </c>
      <c r="F302" s="217" t="s">
        <v>2379</v>
      </c>
      <c r="G302" s="217" t="s">
        <v>13577</v>
      </c>
      <c r="H302" s="451" t="s">
        <v>16552</v>
      </c>
      <c r="I302" s="452" t="s">
        <v>2380</v>
      </c>
      <c r="J302" s="452" t="s">
        <v>15612</v>
      </c>
      <c r="K302" s="453" t="s">
        <v>16553</v>
      </c>
      <c r="L302" s="453" t="s">
        <v>16554</v>
      </c>
      <c r="M302" s="453" t="s">
        <v>16555</v>
      </c>
      <c r="N302" s="453" t="s">
        <v>15511</v>
      </c>
      <c r="O302" s="453" t="s">
        <v>15807</v>
      </c>
      <c r="P302" s="454" t="s">
        <v>499</v>
      </c>
      <c r="Q302" s="455" t="s">
        <v>15513</v>
      </c>
      <c r="R302" s="217" t="str">
        <f ca="1">IF(ISERROR($V302),"",OFFSET('Smelter Look-up'!$C$4,$V302-4,0)&amp;"")</f>
        <v>Guanyang Guida Nonferrous Metal Smelting Plant</v>
      </c>
      <c r="S302" s="225" t="str">
        <f t="shared" ca="1" si="42"/>
        <v>CN</v>
      </c>
      <c r="T302" s="225" t="str">
        <f ca="1">IF(B302="","",IF(ISERROR(MATCH($J302,SorP!$B$1:$B$6230,0)),"",INDIRECT("'SorP'!$A$"&amp;MATCH($J302,SorP!$B$1:$B$6230,0))))</f>
        <v/>
      </c>
      <c r="U302" s="241"/>
      <c r="V302" s="275">
        <f>IF(C302="",NA(),MATCH($B302&amp;$C302,'Smelter Look-up'!$J:$J,0))</f>
        <v>398</v>
      </c>
      <c r="W302" s="276"/>
      <c r="X302" s="276">
        <f t="shared" si="43"/>
        <v>0</v>
      </c>
      <c r="Y302" s="276"/>
      <c r="Z302" s="276"/>
      <c r="AB302" s="278" t="str">
        <f t="shared" si="44"/>
        <v>TinGuanyang Guida Nonferrous Metal Smelting Plant</v>
      </c>
    </row>
    <row r="303" spans="1:28" s="277" customFormat="1" ht="37.15">
      <c r="A303" s="216" t="s">
        <v>2413</v>
      </c>
      <c r="B303" s="217" t="s">
        <v>1153</v>
      </c>
      <c r="C303" s="450" t="s">
        <v>2412</v>
      </c>
      <c r="D303" s="217"/>
      <c r="E303" s="217" t="s">
        <v>916</v>
      </c>
      <c r="F303" s="217" t="s">
        <v>2413</v>
      </c>
      <c r="G303" s="217" t="s">
        <v>13577</v>
      </c>
      <c r="H303" s="451" t="s">
        <v>16556</v>
      </c>
      <c r="I303" s="452" t="s">
        <v>2414</v>
      </c>
      <c r="J303" s="452" t="s">
        <v>1676</v>
      </c>
      <c r="K303" s="453" t="s">
        <v>16557</v>
      </c>
      <c r="L303" s="453" t="s">
        <v>16558</v>
      </c>
      <c r="M303" s="453" t="s">
        <v>16559</v>
      </c>
      <c r="N303" s="453" t="s">
        <v>15511</v>
      </c>
      <c r="O303" s="453" t="s">
        <v>15814</v>
      </c>
      <c r="P303" s="454" t="s">
        <v>14249</v>
      </c>
      <c r="Q303" s="455" t="s">
        <v>15520</v>
      </c>
      <c r="R303" s="217" t="str">
        <f ca="1">IF(ISERROR($V303),"",OFFSET('Smelter Look-up'!$C$4,$V303-4,0)&amp;"")</f>
        <v>AU Traders and Refiners</v>
      </c>
      <c r="S303" s="225" t="str">
        <f t="shared" ca="1" si="42"/>
        <v>ZA</v>
      </c>
      <c r="T303" s="225" t="str">
        <f ca="1">IF(B303="","",IF(ISERROR(MATCH($J303,SorP!$B$1:$B$6230,0)),"",INDIRECT("'SorP'!$A$"&amp;MATCH($J303,SorP!$B$1:$B$6230,0))))</f>
        <v>ZA-GT</v>
      </c>
      <c r="U303" s="241"/>
      <c r="V303" s="275">
        <f>IF(C303="",NA(),MATCH($B303&amp;$C303,'Smelter Look-up'!$J:$J,0))</f>
        <v>30</v>
      </c>
      <c r="W303" s="276"/>
      <c r="X303" s="276">
        <f t="shared" si="43"/>
        <v>0</v>
      </c>
      <c r="Y303" s="276"/>
      <c r="Z303" s="276"/>
      <c r="AB303" s="278" t="str">
        <f t="shared" si="44"/>
        <v>GoldAU Traders and Refiners</v>
      </c>
    </row>
    <row r="304" spans="1:28" s="277" customFormat="1" ht="20.25">
      <c r="A304" s="456" t="s">
        <v>2421</v>
      </c>
      <c r="B304" s="217" t="s">
        <v>1153</v>
      </c>
      <c r="C304" s="450" t="s">
        <v>2643</v>
      </c>
      <c r="D304" s="217"/>
      <c r="E304" s="217" t="s">
        <v>1129</v>
      </c>
      <c r="F304" s="217" t="s">
        <v>2421</v>
      </c>
      <c r="G304" s="457" t="s">
        <v>15611</v>
      </c>
      <c r="H304" s="451">
        <v>0</v>
      </c>
      <c r="I304" s="452" t="s">
        <v>2422</v>
      </c>
      <c r="J304" s="452" t="s">
        <v>2423</v>
      </c>
      <c r="K304" s="453"/>
      <c r="L304" s="453"/>
      <c r="M304" s="453"/>
      <c r="N304" s="453"/>
      <c r="O304" s="453"/>
      <c r="P304" s="454"/>
      <c r="Q304" s="455"/>
      <c r="R304" s="217" t="str">
        <f ca="1">IF(ISERROR($V304),"",OFFSET('Smelter Look-up'!$C$4,$V304-4,0)&amp;"")</f>
        <v>GCC Gujrat Gold Centre Pvt. Ltd.</v>
      </c>
      <c r="S304" s="225" t="str">
        <f t="shared" ca="1" si="42"/>
        <v>IN</v>
      </c>
      <c r="T304" s="225" t="str">
        <f ca="1">IF(B304="","",IF(ISERROR(MATCH($J304,SorP!$B$1:$B$6230,0)),"",INDIRECT("'SorP'!$A$"&amp;MATCH($J304,SorP!$B$1:$B$6230,0))))</f>
        <v>IN-GJ</v>
      </c>
      <c r="U304" s="241"/>
      <c r="V304" s="275">
        <f>IF(C304="",NA(),MATCH($B304&amp;$C304,'Smelter Look-up'!$J:$J,0))</f>
        <v>79</v>
      </c>
      <c r="W304" s="276"/>
      <c r="X304" s="276">
        <f t="shared" si="43"/>
        <v>0</v>
      </c>
      <c r="Y304" s="276"/>
      <c r="Z304" s="276"/>
      <c r="AB304" s="278" t="str">
        <f t="shared" si="44"/>
        <v>GoldGCC Gujrat Gold Centre Pvt. Ltd.</v>
      </c>
    </row>
    <row r="305" spans="1:28" s="277" customFormat="1" ht="20.25">
      <c r="A305" s="456" t="s">
        <v>2447</v>
      </c>
      <c r="B305" s="217" t="s">
        <v>1153</v>
      </c>
      <c r="C305" s="450" t="s">
        <v>2446</v>
      </c>
      <c r="D305" s="217"/>
      <c r="E305" s="217" t="s">
        <v>1129</v>
      </c>
      <c r="F305" s="217" t="s">
        <v>2447</v>
      </c>
      <c r="G305" s="457" t="s">
        <v>15611</v>
      </c>
      <c r="H305" s="451">
        <v>0</v>
      </c>
      <c r="I305" s="452" t="s">
        <v>2448</v>
      </c>
      <c r="J305" s="452" t="s">
        <v>2449</v>
      </c>
      <c r="K305" s="453"/>
      <c r="L305" s="453"/>
      <c r="M305" s="453"/>
      <c r="N305" s="453"/>
      <c r="O305" s="453"/>
      <c r="P305" s="454"/>
      <c r="Q305" s="455"/>
      <c r="R305" s="217" t="str">
        <f ca="1">IF(ISERROR($V305),"",OFFSET('Smelter Look-up'!$C$4,$V305-4,0)&amp;"")</f>
        <v>Sai Refinery</v>
      </c>
      <c r="S305" s="225" t="str">
        <f t="shared" ca="1" si="42"/>
        <v>IN</v>
      </c>
      <c r="T305" s="225" t="str">
        <f ca="1">IF(B305="","",IF(ISERROR(MATCH($J305,SorP!$B$1:$B$6230,0)),"",INDIRECT("'SorP'!$A$"&amp;MATCH($J305,SorP!$B$1:$B$6230,0))))</f>
        <v>IN-HP</v>
      </c>
      <c r="U305" s="241"/>
      <c r="V305" s="275">
        <f>IF(C305="",NA(),MATCH($B305&amp;$C305,'Smelter Look-up'!$J:$J,0))</f>
        <v>208</v>
      </c>
      <c r="W305" s="276"/>
      <c r="X305" s="276">
        <f t="shared" si="43"/>
        <v>0</v>
      </c>
      <c r="Y305" s="276"/>
      <c r="Z305" s="276"/>
      <c r="AB305" s="278" t="str">
        <f t="shared" si="44"/>
        <v>GoldSai Refinery</v>
      </c>
    </row>
    <row r="306" spans="1:28" s="277" customFormat="1" ht="20.25">
      <c r="A306" s="216" t="s">
        <v>16560</v>
      </c>
      <c r="B306" s="217" t="s">
        <v>1153</v>
      </c>
      <c r="C306" s="450" t="s">
        <v>16561</v>
      </c>
      <c r="D306" s="217"/>
      <c r="E306" s="217" t="s">
        <v>917</v>
      </c>
      <c r="F306" s="217" t="s">
        <v>16560</v>
      </c>
      <c r="G306" s="217" t="s">
        <v>13577</v>
      </c>
      <c r="H306" s="451">
        <v>0</v>
      </c>
      <c r="I306" s="452" t="s">
        <v>2459</v>
      </c>
      <c r="J306" s="452" t="s">
        <v>2459</v>
      </c>
      <c r="K306" s="453"/>
      <c r="L306" s="453"/>
      <c r="M306" s="453"/>
      <c r="N306" s="453"/>
      <c r="O306" s="453"/>
      <c r="P306" s="454"/>
      <c r="Q306" s="455"/>
      <c r="R306" s="217" t="str">
        <f ca="1">IF(ISERROR($V306),"",OFFSET('Smelter Look-up'!$C$4,$V306-4,0)&amp;"")</f>
        <v/>
      </c>
      <c r="S306" s="225" t="str">
        <f t="shared" ca="1" si="42"/>
        <v>ZM</v>
      </c>
      <c r="T306" s="225" t="str">
        <f ca="1">IF(B306="","",IF(ISERROR(MATCH($J306,SorP!$B$1:$B$6230,0)),"",INDIRECT("'SorP'!$A$"&amp;MATCH($J306,SorP!$B$1:$B$6230,0))))</f>
        <v>ZM-09</v>
      </c>
      <c r="U306" s="241"/>
      <c r="V306" s="275" t="e">
        <f>IF(C306="",NA(),MATCH($B306&amp;$C306,'Smelter Look-up'!$J:$J,0))</f>
        <v>#N/A</v>
      </c>
      <c r="W306" s="276"/>
      <c r="X306" s="276">
        <f t="shared" si="43"/>
        <v>0</v>
      </c>
      <c r="Y306" s="276"/>
      <c r="Z306" s="276"/>
      <c r="AB306" s="278" t="str">
        <f t="shared" si="44"/>
        <v>GoldUniversal Precious Metals Refining Zambia</v>
      </c>
    </row>
    <row r="307" spans="1:28" s="277" customFormat="1" ht="24.75">
      <c r="A307" s="456" t="s">
        <v>2437</v>
      </c>
      <c r="B307" s="217" t="s">
        <v>1153</v>
      </c>
      <c r="C307" s="450" t="s">
        <v>2436</v>
      </c>
      <c r="D307" s="217"/>
      <c r="E307" s="217" t="s">
        <v>1138</v>
      </c>
      <c r="F307" s="217" t="s">
        <v>2437</v>
      </c>
      <c r="G307" s="457" t="s">
        <v>15611</v>
      </c>
      <c r="H307" s="451">
        <v>0</v>
      </c>
      <c r="I307" s="452" t="s">
        <v>2478</v>
      </c>
      <c r="J307" s="452" t="s">
        <v>2479</v>
      </c>
      <c r="K307" s="453"/>
      <c r="L307" s="453"/>
      <c r="M307" s="453"/>
      <c r="N307" s="453"/>
      <c r="O307" s="453"/>
      <c r="P307" s="454"/>
      <c r="Q307" s="455"/>
      <c r="R307" s="217" t="str">
        <f ca="1">IF(ISERROR($V307),"",OFFSET('Smelter Look-up'!$C$4,$V307-4,0)&amp;"")</f>
        <v>Modeltech Sdn Bhd</v>
      </c>
      <c r="S307" s="225" t="str">
        <f t="shared" ca="1" si="42"/>
        <v>MY</v>
      </c>
      <c r="T307" s="225" t="str">
        <f ca="1">IF(B307="","",IF(ISERROR(MATCH($J307,SorP!$B$1:$B$6230,0)),"",INDIRECT("'SorP'!$A$"&amp;MATCH($J307,SorP!$B$1:$B$6230,0))))</f>
        <v>MY-04</v>
      </c>
      <c r="U307" s="241"/>
      <c r="V307" s="275">
        <f>IF(C307="",NA(),MATCH($B307&amp;$C307,'Smelter Look-up'!$J:$J,0))</f>
        <v>168</v>
      </c>
      <c r="W307" s="276"/>
      <c r="X307" s="276">
        <f t="shared" si="43"/>
        <v>0</v>
      </c>
      <c r="Y307" s="276"/>
      <c r="Z307" s="276"/>
      <c r="AB307" s="278" t="str">
        <f t="shared" si="44"/>
        <v>GoldModeltech Sdn Bhd</v>
      </c>
    </row>
    <row r="308" spans="1:28" s="277" customFormat="1" ht="37.15">
      <c r="A308" s="216" t="s">
        <v>2474</v>
      </c>
      <c r="B308" s="217" t="s">
        <v>1154</v>
      </c>
      <c r="C308" s="450" t="s">
        <v>2436</v>
      </c>
      <c r="D308" s="217"/>
      <c r="E308" s="217" t="s">
        <v>1138</v>
      </c>
      <c r="F308" s="217" t="s">
        <v>2474</v>
      </c>
      <c r="G308" s="217" t="s">
        <v>13577</v>
      </c>
      <c r="H308" s="451" t="s">
        <v>16562</v>
      </c>
      <c r="I308" s="452" t="s">
        <v>2478</v>
      </c>
      <c r="J308" s="452" t="s">
        <v>2479</v>
      </c>
      <c r="K308" s="453" t="s">
        <v>16563</v>
      </c>
      <c r="L308" s="453" t="s">
        <v>16564</v>
      </c>
      <c r="M308" s="453" t="s">
        <v>15624</v>
      </c>
      <c r="N308" s="453" t="s">
        <v>15518</v>
      </c>
      <c r="O308" s="453" t="s">
        <v>15519</v>
      </c>
      <c r="P308" s="454" t="s">
        <v>498</v>
      </c>
      <c r="Q308" s="455" t="s">
        <v>15513</v>
      </c>
      <c r="R308" s="217" t="str">
        <f ca="1">IF(ISERROR($V308),"",OFFSET('Smelter Look-up'!$C$4,$V308-4,0)&amp;"")</f>
        <v>Modeltech Sdn Bhd</v>
      </c>
      <c r="S308" s="225" t="str">
        <f t="shared" ca="1" si="42"/>
        <v>MY</v>
      </c>
      <c r="T308" s="225" t="str">
        <f ca="1">IF(B308="","",IF(ISERROR(MATCH($J308,SorP!$B$1:$B$6230,0)),"",INDIRECT("'SorP'!$A$"&amp;MATCH($J308,SorP!$B$1:$B$6230,0))))</f>
        <v>MY-04</v>
      </c>
      <c r="U308" s="241"/>
      <c r="V308" s="275">
        <f>IF(C308="",NA(),MATCH($B308&amp;$C308,'Smelter Look-up'!$J:$J,0))</f>
        <v>426</v>
      </c>
      <c r="W308" s="276"/>
      <c r="X308" s="276">
        <f t="shared" si="43"/>
        <v>0</v>
      </c>
      <c r="Y308" s="276"/>
      <c r="Z308" s="276"/>
      <c r="AB308" s="278" t="str">
        <f t="shared" si="44"/>
        <v>TinModeltech Sdn Bhd</v>
      </c>
    </row>
    <row r="309" spans="1:28" s="277" customFormat="1" ht="24.75">
      <c r="A309" s="216" t="s">
        <v>16565</v>
      </c>
      <c r="B309" s="217" t="s">
        <v>1154</v>
      </c>
      <c r="C309" s="450" t="s">
        <v>16566</v>
      </c>
      <c r="D309" s="217"/>
      <c r="E309" s="217" t="s">
        <v>1123</v>
      </c>
      <c r="F309" s="217" t="s">
        <v>16565</v>
      </c>
      <c r="G309" s="217" t="s">
        <v>13577</v>
      </c>
      <c r="H309" s="451" t="s">
        <v>16567</v>
      </c>
      <c r="I309" s="452" t="s">
        <v>16568</v>
      </c>
      <c r="J309" s="452" t="s">
        <v>15578</v>
      </c>
      <c r="K309" s="453" t="s">
        <v>16569</v>
      </c>
      <c r="L309" s="453" t="s">
        <v>16570</v>
      </c>
      <c r="M309" s="453" t="s">
        <v>16571</v>
      </c>
      <c r="N309" s="453" t="s">
        <v>15511</v>
      </c>
      <c r="O309" s="453" t="s">
        <v>15807</v>
      </c>
      <c r="P309" s="454" t="s">
        <v>499</v>
      </c>
      <c r="Q309" s="455" t="s">
        <v>15513</v>
      </c>
      <c r="R309" s="217" t="str">
        <f ca="1">IF(ISERROR($V309),"",OFFSET('Smelter Look-up'!$C$4,$V309-4,0)&amp;"")</f>
        <v/>
      </c>
      <c r="S309" s="225" t="str">
        <f t="shared" ca="1" si="42"/>
        <v>CN</v>
      </c>
      <c r="T309" s="225" t="str">
        <f ca="1">IF(B309="","",IF(ISERROR(MATCH($J309,SorP!$B$1:$B$6230,0)),"",INDIRECT("'SorP'!$A$"&amp;MATCH($J309,SorP!$B$1:$B$6230,0))))</f>
        <v/>
      </c>
      <c r="U309" s="241"/>
      <c r="V309" s="275" t="e">
        <f>IF(C309="",NA(),MATCH($B309&amp;$C309,'Smelter Look-up'!$J:$J,0))</f>
        <v>#N/A</v>
      </c>
      <c r="W309" s="276"/>
      <c r="X309" s="276">
        <f t="shared" si="43"/>
        <v>0</v>
      </c>
      <c r="Y309" s="276"/>
      <c r="Z309" s="276"/>
      <c r="AB309" s="278" t="str">
        <f t="shared" si="44"/>
        <v>TinGejiu Jinye Mineral Company</v>
      </c>
    </row>
    <row r="310" spans="1:28" s="277" customFormat="1" ht="20.25">
      <c r="A310" s="216" t="s">
        <v>2417</v>
      </c>
      <c r="B310" s="217" t="s">
        <v>1153</v>
      </c>
      <c r="C310" s="450" t="s">
        <v>2416</v>
      </c>
      <c r="D310" s="217"/>
      <c r="E310" s="217" t="s">
        <v>1129</v>
      </c>
      <c r="F310" s="217" t="s">
        <v>2417</v>
      </c>
      <c r="G310" s="217" t="s">
        <v>13577</v>
      </c>
      <c r="H310" s="451" t="s">
        <v>14249</v>
      </c>
      <c r="I310" s="452" t="s">
        <v>2476</v>
      </c>
      <c r="J310" s="452" t="s">
        <v>2477</v>
      </c>
      <c r="K310" s="453" t="s">
        <v>14249</v>
      </c>
      <c r="L310" s="453" t="s">
        <v>14249</v>
      </c>
      <c r="M310" s="453" t="s">
        <v>14249</v>
      </c>
      <c r="N310" s="453" t="s">
        <v>14249</v>
      </c>
      <c r="O310" s="453" t="s">
        <v>14249</v>
      </c>
      <c r="P310" s="454" t="s">
        <v>14249</v>
      </c>
      <c r="Q310" s="455" t="s">
        <v>14249</v>
      </c>
      <c r="R310" s="217" t="str">
        <f ca="1">IF(ISERROR($V310),"",OFFSET('Smelter Look-up'!$C$4,$V310-4,0)&amp;"")</f>
        <v>Bangalore Refinery</v>
      </c>
      <c r="S310" s="225" t="str">
        <f t="shared" ca="1" si="42"/>
        <v>IN</v>
      </c>
      <c r="T310" s="225" t="str">
        <f ca="1">IF(B310="","",IF(ISERROR(MATCH($J310,SorP!$B$1:$B$6230,0)),"",INDIRECT("'SorP'!$A$"&amp;MATCH($J310,SorP!$B$1:$B$6230,0))))</f>
        <v>IN-KA</v>
      </c>
      <c r="U310" s="241"/>
      <c r="V310" s="275">
        <f>IF(C310="",NA(),MATCH($B310&amp;$C310,'Smelter Look-up'!$J:$J,0))</f>
        <v>34</v>
      </c>
      <c r="W310" s="276"/>
      <c r="X310" s="276">
        <f t="shared" si="43"/>
        <v>0</v>
      </c>
      <c r="Y310" s="276"/>
      <c r="Z310" s="276"/>
      <c r="AB310" s="278" t="str">
        <f t="shared" si="44"/>
        <v>GoldBangalore Refinery</v>
      </c>
    </row>
    <row r="311" spans="1:28" s="277" customFormat="1" ht="24.75">
      <c r="A311" s="493" t="s">
        <v>2654</v>
      </c>
      <c r="B311" s="480" t="s">
        <v>1153</v>
      </c>
      <c r="C311" s="450" t="s">
        <v>2653</v>
      </c>
      <c r="D311" s="217"/>
      <c r="E311" s="217" t="s">
        <v>906</v>
      </c>
      <c r="F311" s="217" t="s">
        <v>2654</v>
      </c>
      <c r="G311" s="457" t="s">
        <v>15611</v>
      </c>
      <c r="H311" s="451">
        <v>0</v>
      </c>
      <c r="I311" s="452" t="s">
        <v>12735</v>
      </c>
      <c r="J311" s="452" t="s">
        <v>10275</v>
      </c>
      <c r="K311" s="486"/>
      <c r="L311" s="486"/>
      <c r="M311" s="486"/>
      <c r="N311" s="486"/>
      <c r="O311" s="486"/>
      <c r="P311" s="488"/>
      <c r="Q311" s="487"/>
      <c r="R311" s="217" t="str">
        <f ca="1">IF(ISERROR($V311),"",OFFSET('Smelter Look-up'!$C$4,$V311-4,0)&amp;"")</f>
        <v>Kyshtym Copper-Electrolytic Plant ZAO</v>
      </c>
      <c r="S311" s="225" t="str">
        <f t="shared" ca="1" si="42"/>
        <v>RU</v>
      </c>
      <c r="T311" s="225" t="str">
        <f ca="1">IF(B311="","",IF(ISERROR(MATCH($J311,SorP!$B$1:$B$6230,0)),"",INDIRECT("'SorP'!$A$"&amp;MATCH($J311,SorP!$B$1:$B$6230,0))))</f>
        <v>RU-CHE</v>
      </c>
      <c r="U311" s="241"/>
      <c r="V311" s="275">
        <f>IF(C311="",NA(),MATCH($B311&amp;$C311,'Smelter Look-up'!$J:$J,0))</f>
        <v>135</v>
      </c>
      <c r="W311" s="276"/>
      <c r="X311" s="276">
        <f t="shared" si="43"/>
        <v>0</v>
      </c>
      <c r="Y311" s="276"/>
      <c r="Z311" s="276"/>
      <c r="AB311" s="278" t="str">
        <f t="shared" si="44"/>
        <v>GoldKyshtym Copper-Electrolytic Plant ZAO</v>
      </c>
    </row>
    <row r="312" spans="1:28" s="277" customFormat="1" ht="20.25">
      <c r="A312" s="494" t="s">
        <v>16572</v>
      </c>
      <c r="B312" s="495" t="s">
        <v>1153</v>
      </c>
      <c r="C312" s="489" t="s">
        <v>16573</v>
      </c>
      <c r="D312" s="496"/>
      <c r="E312" s="496" t="s">
        <v>1116</v>
      </c>
      <c r="F312" s="496" t="s">
        <v>16572</v>
      </c>
      <c r="G312" s="497" t="s">
        <v>15611</v>
      </c>
      <c r="H312" s="451">
        <v>0</v>
      </c>
      <c r="I312" s="452" t="s">
        <v>16574</v>
      </c>
      <c r="J312" s="452" t="s">
        <v>2595</v>
      </c>
      <c r="K312" s="486"/>
      <c r="L312" s="486"/>
      <c r="M312" s="486"/>
      <c r="N312" s="486"/>
      <c r="O312" s="486"/>
      <c r="P312" s="488"/>
      <c r="Q312" s="487"/>
      <c r="R312" s="217" t="str">
        <f ca="1">IF(ISERROR($V312),"",OFFSET('Smelter Look-up'!$C$4,$V312-4,0)&amp;"")</f>
        <v/>
      </c>
      <c r="S312" s="225" t="str">
        <f t="shared" ca="1" si="42"/>
        <v>AU</v>
      </c>
      <c r="T312" s="225" t="str">
        <f ca="1">IF(B312="","",IF(ISERROR(MATCH($J312,SorP!$B$1:$B$6230,0)),"",INDIRECT("'SorP'!$A$"&amp;MATCH($J312,SorP!$B$1:$B$6230,0))))</f>
        <v>AU-QLD</v>
      </c>
      <c r="U312" s="241"/>
      <c r="V312" s="275" t="e">
        <f>IF(C312="",NA(),MATCH($B312&amp;$C312,'Smelter Look-up'!$J:$J,0))</f>
        <v>#N/A</v>
      </c>
      <c r="W312" s="276"/>
      <c r="X312" s="276">
        <f t="shared" si="43"/>
        <v>0</v>
      </c>
      <c r="Y312" s="276"/>
      <c r="Z312" s="276"/>
      <c r="AB312" s="278" t="str">
        <f t="shared" si="44"/>
        <v>GoldMorris and Watson Gold Coast</v>
      </c>
    </row>
    <row r="313" spans="1:28" s="277" customFormat="1" ht="20.25">
      <c r="A313" s="494" t="s">
        <v>2581</v>
      </c>
      <c r="B313" s="495" t="s">
        <v>1153</v>
      </c>
      <c r="C313" s="489" t="s">
        <v>2580</v>
      </c>
      <c r="D313" s="496"/>
      <c r="E313" s="496" t="s">
        <v>1124</v>
      </c>
      <c r="F313" s="496" t="s">
        <v>2581</v>
      </c>
      <c r="G313" s="497" t="s">
        <v>15611</v>
      </c>
      <c r="H313" s="451">
        <v>0</v>
      </c>
      <c r="I313" s="452" t="s">
        <v>1572</v>
      </c>
      <c r="J313" s="452" t="s">
        <v>1573</v>
      </c>
      <c r="K313" s="486"/>
      <c r="L313" s="486"/>
      <c r="M313" s="486"/>
      <c r="N313" s="486"/>
      <c r="O313" s="486"/>
      <c r="P313" s="488"/>
      <c r="Q313" s="487"/>
      <c r="R313" s="217" t="str">
        <f ca="1">IF(ISERROR($V313),"",OFFSET('Smelter Look-up'!$C$4,$V313-4,0)&amp;"")</f>
        <v>Degussa Sonne / Mond Goldhandel GmbH</v>
      </c>
      <c r="S313" s="225" t="str">
        <f t="shared" ca="1" si="42"/>
        <v>DE</v>
      </c>
      <c r="T313" s="225" t="str">
        <f ca="1">IF(B313="","",IF(ISERROR(MATCH($J313,SorP!$B$1:$B$6230,0)),"",INDIRECT("'SorP'!$A$"&amp;MATCH($J313,SorP!$B$1:$B$6230,0))))</f>
        <v>DE-BW</v>
      </c>
      <c r="U313" s="241"/>
      <c r="V313" s="275">
        <f>IF(C313="",NA(),MATCH($B313&amp;$C313,'Smelter Look-up'!$J:$J,0))</f>
        <v>57</v>
      </c>
      <c r="W313" s="276"/>
      <c r="X313" s="276">
        <f t="shared" si="43"/>
        <v>0</v>
      </c>
      <c r="Y313" s="276"/>
      <c r="Z313" s="276"/>
      <c r="AB313" s="278" t="str">
        <f t="shared" si="44"/>
        <v>GoldDegussa Sonne / Mond Goldhandel GmbH</v>
      </c>
    </row>
    <row r="314" spans="1:28" s="277" customFormat="1" ht="49.5">
      <c r="A314" s="498" t="s">
        <v>16575</v>
      </c>
      <c r="B314" s="495" t="s">
        <v>1154</v>
      </c>
      <c r="C314" s="489" t="s">
        <v>16576</v>
      </c>
      <c r="D314" s="496"/>
      <c r="E314" s="496" t="s">
        <v>1128</v>
      </c>
      <c r="F314" s="496" t="s">
        <v>16575</v>
      </c>
      <c r="G314" s="496" t="s">
        <v>13577</v>
      </c>
      <c r="H314" s="451" t="s">
        <v>16577</v>
      </c>
      <c r="I314" s="452" t="s">
        <v>16578</v>
      </c>
      <c r="J314" s="452" t="s">
        <v>13183</v>
      </c>
      <c r="K314" s="486" t="s">
        <v>16579</v>
      </c>
      <c r="L314" s="486" t="s">
        <v>16580</v>
      </c>
      <c r="M314" s="486" t="s">
        <v>16581</v>
      </c>
      <c r="N314" s="486" t="s">
        <v>15511</v>
      </c>
      <c r="O314" s="486" t="s">
        <v>15807</v>
      </c>
      <c r="P314" s="488" t="s">
        <v>499</v>
      </c>
      <c r="Q314" s="487" t="s">
        <v>15513</v>
      </c>
      <c r="R314" s="217" t="str">
        <f ca="1">IF(ISERROR($V314),"",OFFSET('Smelter Look-up'!$C$4,$V314-4,0)&amp;"")</f>
        <v/>
      </c>
      <c r="S314" s="225" t="str">
        <f t="shared" ca="1" si="42"/>
        <v>ID</v>
      </c>
      <c r="T314" s="225" t="str">
        <f ca="1">IF(B314="","",IF(ISERROR(MATCH($J314,SorP!$B$1:$B$6230,0)),"",INDIRECT("'SorP'!$A$"&amp;MATCH($J314,SorP!$B$1:$B$6230,0))))</f>
        <v>ID-BB</v>
      </c>
      <c r="U314" s="241"/>
      <c r="V314" s="275" t="e">
        <f>IF(C314="",NA(),MATCH($B314&amp;$C314,'Smelter Look-up'!$J:$J,0))</f>
        <v>#N/A</v>
      </c>
      <c r="W314" s="276"/>
      <c r="X314" s="276">
        <f t="shared" si="43"/>
        <v>0</v>
      </c>
      <c r="Y314" s="276"/>
      <c r="Z314" s="276"/>
      <c r="AB314" s="278" t="str">
        <f t="shared" si="44"/>
        <v>TinPT Lautan Harmonis Sejahtera</v>
      </c>
    </row>
    <row r="315" spans="1:28" s="277" customFormat="1" ht="24.75">
      <c r="A315" s="494" t="s">
        <v>2586</v>
      </c>
      <c r="B315" s="495" t="s">
        <v>1153</v>
      </c>
      <c r="C315" s="489" t="s">
        <v>2585</v>
      </c>
      <c r="D315" s="496"/>
      <c r="E315" s="496" t="s">
        <v>2576</v>
      </c>
      <c r="F315" s="496" t="s">
        <v>2586</v>
      </c>
      <c r="G315" s="497" t="s">
        <v>15611</v>
      </c>
      <c r="H315" s="451">
        <v>0</v>
      </c>
      <c r="I315" s="452" t="s">
        <v>1568</v>
      </c>
      <c r="J315" s="452" t="s">
        <v>1569</v>
      </c>
      <c r="K315" s="486"/>
      <c r="L315" s="486"/>
      <c r="M315" s="486"/>
      <c r="N315" s="486"/>
      <c r="O315" s="486"/>
      <c r="P315" s="488"/>
      <c r="Q315" s="487"/>
      <c r="R315" s="217" t="str">
        <f ca="1">IF(ISERROR($V315),"",OFFSET('Smelter Look-up'!$C$4,$V315-4,0)&amp;"")</f>
        <v>Pease &amp; Curren</v>
      </c>
      <c r="S315" s="225" t="str">
        <f t="shared" ca="1" si="42"/>
        <v>US</v>
      </c>
      <c r="T315" s="225" t="str">
        <f ca="1">IF(B315="","",IF(ISERROR(MATCH($J315,SorP!$B$1:$B$6230,0)),"",INDIRECT("'SorP'!$A$"&amp;MATCH($J315,SorP!$B$1:$B$6230,0))))</f>
        <v>US-RI</v>
      </c>
      <c r="U315" s="241"/>
      <c r="V315" s="275">
        <f>IF(C315="",NA(),MATCH($B315&amp;$C315,'Smelter Look-up'!$J:$J,0))</f>
        <v>186</v>
      </c>
      <c r="W315" s="276"/>
      <c r="X315" s="276">
        <f t="shared" si="43"/>
        <v>0</v>
      </c>
      <c r="Y315" s="276"/>
      <c r="Z315" s="276"/>
      <c r="AB315" s="278" t="str">
        <f t="shared" si="44"/>
        <v>GoldPease &amp; Curren</v>
      </c>
    </row>
    <row r="316" spans="1:28" s="277" customFormat="1" ht="37.15">
      <c r="A316" s="498" t="s">
        <v>2596</v>
      </c>
      <c r="B316" s="495" t="s">
        <v>1153</v>
      </c>
      <c r="C316" s="489" t="s">
        <v>13260</v>
      </c>
      <c r="D316" s="496"/>
      <c r="E316" s="496" t="s">
        <v>1134</v>
      </c>
      <c r="F316" s="496" t="s">
        <v>2596</v>
      </c>
      <c r="G316" s="496" t="s">
        <v>13577</v>
      </c>
      <c r="H316" s="451" t="s">
        <v>16582</v>
      </c>
      <c r="I316" s="452" t="s">
        <v>13276</v>
      </c>
      <c r="J316" s="452" t="s">
        <v>13205</v>
      </c>
      <c r="K316" s="486" t="s">
        <v>16583</v>
      </c>
      <c r="L316" s="486" t="s">
        <v>16584</v>
      </c>
      <c r="M316" s="486" t="s">
        <v>16585</v>
      </c>
      <c r="N316" s="486" t="s">
        <v>15518</v>
      </c>
      <c r="O316" s="486" t="s">
        <v>15519</v>
      </c>
      <c r="P316" s="488" t="s">
        <v>498</v>
      </c>
      <c r="Q316" s="487" t="s">
        <v>15520</v>
      </c>
      <c r="R316" s="217" t="str">
        <f ca="1">IF(ISERROR($V316),"",OFFSET('Smelter Look-up'!$C$4,$V316-4,0)&amp;"")</f>
        <v>SungEel HiMetal Co., Ltd.</v>
      </c>
      <c r="S316" s="225" t="str">
        <f t="shared" ca="1" si="42"/>
        <v>KR</v>
      </c>
      <c r="T316" s="225" t="str">
        <f ca="1">IF(B316="","",IF(ISERROR(MATCH($J316,SorP!$B$1:$B$6230,0)),"",INDIRECT("'SorP'!$A$"&amp;MATCH($J316,SorP!$B$1:$B$6230,0))))</f>
        <v>KR-45</v>
      </c>
      <c r="U316" s="241"/>
      <c r="V316" s="275">
        <f>IF(C316="",NA(),MATCH($B316&amp;$C316,'Smelter Look-up'!$J:$J,0))</f>
        <v>241</v>
      </c>
      <c r="W316" s="276"/>
      <c r="X316" s="276">
        <f t="shared" si="43"/>
        <v>0</v>
      </c>
      <c r="Y316" s="276"/>
      <c r="Z316" s="276"/>
      <c r="AB316" s="278" t="str">
        <f t="shared" si="44"/>
        <v>GoldSungEel HiMetal Co., Ltd.</v>
      </c>
    </row>
    <row r="317" spans="1:28" s="277" customFormat="1" ht="24.75">
      <c r="A317" s="488" t="s">
        <v>2662</v>
      </c>
      <c r="B317" s="496" t="s">
        <v>1153</v>
      </c>
      <c r="C317" s="489" t="s">
        <v>2661</v>
      </c>
      <c r="D317" s="496"/>
      <c r="E317" s="496" t="s">
        <v>1122</v>
      </c>
      <c r="F317" s="496" t="s">
        <v>2662</v>
      </c>
      <c r="G317" s="496" t="s">
        <v>13577</v>
      </c>
      <c r="H317" s="451" t="s">
        <v>16586</v>
      </c>
      <c r="I317" s="452" t="s">
        <v>2663</v>
      </c>
      <c r="J317" s="452" t="s">
        <v>2664</v>
      </c>
      <c r="K317" s="453" t="s">
        <v>16587</v>
      </c>
      <c r="L317" s="453" t="s">
        <v>16588</v>
      </c>
      <c r="M317" s="453" t="s">
        <v>16589</v>
      </c>
      <c r="N317" s="453" t="s">
        <v>15511</v>
      </c>
      <c r="O317" s="453" t="s">
        <v>15807</v>
      </c>
      <c r="P317" s="454" t="s">
        <v>499</v>
      </c>
      <c r="Q317" s="455" t="s">
        <v>15520</v>
      </c>
      <c r="R317" s="217" t="str">
        <f ca="1">IF(ISERROR($V317),"",OFFSET('Smelter Look-up'!$C$4,$V317-4,0)&amp;"")</f>
        <v>Planta Recuperadora de Metales SpA</v>
      </c>
      <c r="S317" s="225" t="str">
        <f t="shared" ca="1" si="42"/>
        <v>CL</v>
      </c>
      <c r="T317" s="225" t="str">
        <f ca="1">IF(B317="","",IF(ISERROR(MATCH($J317,SorP!$B$1:$B$6230,0)),"",INDIRECT("'SorP'!$A$"&amp;MATCH($J317,SorP!$B$1:$B$6230,0))))</f>
        <v>CL-AN</v>
      </c>
      <c r="U317" s="241"/>
      <c r="V317" s="275">
        <f>IF(C317="",NA(),MATCH($B317&amp;$C317,'Smelter Look-up'!$J:$J,0))</f>
        <v>190</v>
      </c>
      <c r="W317" s="276"/>
      <c r="X317" s="276">
        <f t="shared" si="43"/>
        <v>0</v>
      </c>
      <c r="Y317" s="276"/>
      <c r="Z317" s="276"/>
      <c r="AB317" s="278" t="str">
        <f t="shared" si="44"/>
        <v>GoldPlanta Recuperadora de Metales SpA</v>
      </c>
    </row>
    <row r="318" spans="1:28" s="277" customFormat="1" ht="24.75">
      <c r="A318" s="216" t="s">
        <v>2666</v>
      </c>
      <c r="B318" s="217" t="s">
        <v>1153</v>
      </c>
      <c r="C318" s="450" t="s">
        <v>2665</v>
      </c>
      <c r="D318" s="217"/>
      <c r="E318" s="217" t="s">
        <v>1130</v>
      </c>
      <c r="F318" s="217" t="s">
        <v>2666</v>
      </c>
      <c r="G318" s="217" t="s">
        <v>13577</v>
      </c>
      <c r="H318" s="451" t="s">
        <v>16590</v>
      </c>
      <c r="I318" s="452" t="s">
        <v>1599</v>
      </c>
      <c r="J318" s="452" t="s">
        <v>6691</v>
      </c>
      <c r="K318" s="453" t="s">
        <v>16591</v>
      </c>
      <c r="L318" s="453" t="s">
        <v>16592</v>
      </c>
      <c r="M318" s="453" t="s">
        <v>16593</v>
      </c>
      <c r="N318" s="453" t="s">
        <v>15511</v>
      </c>
      <c r="O318" s="453" t="s">
        <v>15814</v>
      </c>
      <c r="P318" s="454"/>
      <c r="Q318" s="455" t="s">
        <v>15520</v>
      </c>
      <c r="R318" s="217" t="str">
        <f ca="1">IF(ISERROR($V318),"",OFFSET('Smelter Look-up'!$C$4,$V318-4,0)&amp;"")</f>
        <v>Safimet S.p.A</v>
      </c>
      <c r="S318" s="225" t="str">
        <f t="shared" ca="1" si="42"/>
        <v>IT</v>
      </c>
      <c r="T318" s="225" t="str">
        <f ca="1">IF(B318="","",IF(ISERROR(MATCH($J318,SorP!$B$1:$B$6230,0)),"",INDIRECT("'SorP'!$A$"&amp;MATCH($J318,SorP!$B$1:$B$6230,0))))</f>
        <v>IT-52</v>
      </c>
      <c r="U318" s="241"/>
      <c r="V318" s="275">
        <f>IF(C318="",NA(),MATCH($B318&amp;$C318,'Smelter Look-up'!$J:$J,0))</f>
        <v>205</v>
      </c>
      <c r="W318" s="276"/>
      <c r="X318" s="276">
        <f t="shared" si="43"/>
        <v>0</v>
      </c>
      <c r="Y318" s="276"/>
      <c r="Z318" s="276"/>
      <c r="AB318" s="278" t="str">
        <f t="shared" si="44"/>
        <v>GoldSafimet S.p.A</v>
      </c>
    </row>
    <row r="319" spans="1:28" s="277" customFormat="1" ht="49.5">
      <c r="A319" s="216" t="s">
        <v>2678</v>
      </c>
      <c r="B319" s="217" t="s">
        <v>1154</v>
      </c>
      <c r="C319" s="450" t="s">
        <v>2677</v>
      </c>
      <c r="D319" s="217"/>
      <c r="E319" s="217" t="s">
        <v>1123</v>
      </c>
      <c r="F319" s="217" t="s">
        <v>2678</v>
      </c>
      <c r="G319" s="217" t="s">
        <v>13577</v>
      </c>
      <c r="H319" s="451" t="s">
        <v>16594</v>
      </c>
      <c r="I319" s="452" t="s">
        <v>1865</v>
      </c>
      <c r="J319" s="452" t="s">
        <v>15584</v>
      </c>
      <c r="K319" s="453" t="s">
        <v>16595</v>
      </c>
      <c r="L319" s="453" t="s">
        <v>16596</v>
      </c>
      <c r="M319" s="453" t="s">
        <v>16597</v>
      </c>
      <c r="N319" s="453" t="s">
        <v>15542</v>
      </c>
      <c r="O319" s="453" t="s">
        <v>15771</v>
      </c>
      <c r="P319" s="454" t="s">
        <v>499</v>
      </c>
      <c r="Q319" s="455" t="s">
        <v>15513</v>
      </c>
      <c r="R319" s="217" t="str">
        <f ca="1">IF(ISERROR($V319),"",OFFSET('Smelter Look-up'!$C$4,$V319-4,0)&amp;"")</f>
        <v>Guangdong Hanhe Non-Ferrous Metal Co., Ltd.</v>
      </c>
      <c r="S319" s="225" t="str">
        <f t="shared" ca="1" si="42"/>
        <v>CN</v>
      </c>
      <c r="T319" s="225" t="str">
        <f ca="1">IF(B319="","",IF(ISERROR(MATCH($J319,SorP!$B$1:$B$6230,0)),"",INDIRECT("'SorP'!$A$"&amp;MATCH($J319,SorP!$B$1:$B$6230,0))))</f>
        <v/>
      </c>
      <c r="U319" s="241"/>
      <c r="V319" s="275">
        <f>IF(C319="",NA(),MATCH($B319&amp;$C319,'Smelter Look-up'!$J:$J,0))</f>
        <v>395</v>
      </c>
      <c r="W319" s="276"/>
      <c r="X319" s="276">
        <f t="shared" si="43"/>
        <v>0</v>
      </c>
      <c r="Y319" s="276"/>
      <c r="Z319" s="276"/>
      <c r="AB319" s="278" t="str">
        <f t="shared" si="44"/>
        <v>TinGuangdong Hanhe Non-Ferrous Metal Co., Ltd.</v>
      </c>
    </row>
    <row r="320" spans="1:28" s="277" customFormat="1" ht="24.75">
      <c r="A320" s="456" t="s">
        <v>2668</v>
      </c>
      <c r="B320" s="217" t="s">
        <v>1153</v>
      </c>
      <c r="C320" s="450" t="s">
        <v>2667</v>
      </c>
      <c r="D320" s="217"/>
      <c r="E320" s="217" t="s">
        <v>1135</v>
      </c>
      <c r="F320" s="217" t="s">
        <v>2668</v>
      </c>
      <c r="G320" s="457" t="s">
        <v>15611</v>
      </c>
      <c r="H320" s="451">
        <v>0</v>
      </c>
      <c r="I320" s="452" t="s">
        <v>2669</v>
      </c>
      <c r="J320" s="452" t="s">
        <v>2669</v>
      </c>
      <c r="K320" s="453"/>
      <c r="L320" s="453"/>
      <c r="M320" s="453"/>
      <c r="N320" s="453"/>
      <c r="O320" s="453"/>
      <c r="P320" s="454"/>
      <c r="Q320" s="455"/>
      <c r="R320" s="217" t="str">
        <f ca="1">IF(ISERROR($V320),"",OFFSET('Smelter Look-up'!$C$4,$V320-4,0)&amp;"")</f>
        <v>State Research Institute Center for Physical Sciences and Technology</v>
      </c>
      <c r="S320" s="225" t="str">
        <f t="shared" ca="1" si="42"/>
        <v>LT</v>
      </c>
      <c r="T320" s="225" t="str">
        <f ca="1">IF(B320="","",IF(ISERROR(MATCH($J320,SorP!$B$1:$B$6230,0)),"",INDIRECT("'SorP'!$A$"&amp;MATCH($J320,SorP!$B$1:$B$6230,0))))</f>
        <v>LT-58</v>
      </c>
      <c r="U320" s="241"/>
      <c r="V320" s="275">
        <f>IF(C320="",NA(),MATCH($B320&amp;$C320,'Smelter Look-up'!$J:$J,0))</f>
        <v>237</v>
      </c>
      <c r="W320" s="276"/>
      <c r="X320" s="276">
        <f t="shared" si="43"/>
        <v>0</v>
      </c>
      <c r="Y320" s="276"/>
      <c r="Z320" s="276"/>
      <c r="AB320" s="278" t="str">
        <f t="shared" si="44"/>
        <v>GoldState Research Institute Center for Physical Sciences and Technology</v>
      </c>
    </row>
    <row r="321" spans="1:28" s="277" customFormat="1" ht="49.5">
      <c r="A321" s="216" t="s">
        <v>13265</v>
      </c>
      <c r="B321" s="217" t="s">
        <v>1154</v>
      </c>
      <c r="C321" s="450" t="s">
        <v>13264</v>
      </c>
      <c r="D321" s="217"/>
      <c r="E321" s="217" t="s">
        <v>1123</v>
      </c>
      <c r="F321" s="217" t="s">
        <v>13265</v>
      </c>
      <c r="G321" s="217" t="s">
        <v>13577</v>
      </c>
      <c r="H321" s="451" t="s">
        <v>16598</v>
      </c>
      <c r="I321" s="452" t="s">
        <v>13285</v>
      </c>
      <c r="J321" s="452" t="s">
        <v>15754</v>
      </c>
      <c r="K321" s="453" t="s">
        <v>16599</v>
      </c>
      <c r="L321" s="453" t="s">
        <v>16600</v>
      </c>
      <c r="M321" s="453" t="s">
        <v>15694</v>
      </c>
      <c r="N321" s="453" t="s">
        <v>15542</v>
      </c>
      <c r="O321" s="453" t="s">
        <v>15771</v>
      </c>
      <c r="P321" s="454" t="s">
        <v>499</v>
      </c>
      <c r="Q321" s="455" t="s">
        <v>15513</v>
      </c>
      <c r="R321" s="217" t="str">
        <f ca="1">IF(ISERROR($V321),"",OFFSET('Smelter Look-up'!$C$4,$V321-4,0)&amp;"")</f>
        <v>Chifeng Dajingzi Tin Industry Co., Ltd.</v>
      </c>
      <c r="S321" s="225" t="str">
        <f t="shared" ca="1" si="42"/>
        <v>CN</v>
      </c>
      <c r="T321" s="225" t="str">
        <f ca="1">IF(B321="","",IF(ISERROR(MATCH($J321,SorP!$B$1:$B$6230,0)),"",INDIRECT("'SorP'!$A$"&amp;MATCH($J321,SorP!$B$1:$B$6230,0))))</f>
        <v/>
      </c>
      <c r="U321" s="241"/>
      <c r="V321" s="275">
        <f>IF(C321="",NA(),MATCH($B321&amp;$C321,'Smelter Look-up'!$J:$J,0))</f>
        <v>365</v>
      </c>
      <c r="W321" s="276"/>
      <c r="X321" s="276">
        <f t="shared" si="43"/>
        <v>0</v>
      </c>
      <c r="Y321" s="276"/>
      <c r="Z321" s="276"/>
      <c r="AB321" s="278" t="str">
        <f t="shared" si="44"/>
        <v>TinChifeng Dajingzi Tin Industry Co., Ltd.</v>
      </c>
    </row>
    <row r="322" spans="1:28" s="277" customFormat="1" ht="61.9">
      <c r="A322" s="216" t="s">
        <v>16601</v>
      </c>
      <c r="B322" s="217" t="s">
        <v>1155</v>
      </c>
      <c r="C322" s="450" t="s">
        <v>16602</v>
      </c>
      <c r="D322" s="217"/>
      <c r="E322" s="217" t="s">
        <v>1123</v>
      </c>
      <c r="F322" s="217" t="s">
        <v>16601</v>
      </c>
      <c r="G322" s="217" t="s">
        <v>13577</v>
      </c>
      <c r="H322" s="451" t="s">
        <v>16603</v>
      </c>
      <c r="I322" s="452" t="s">
        <v>1756</v>
      </c>
      <c r="J322" s="452" t="s">
        <v>15601</v>
      </c>
      <c r="K322" s="453" t="s">
        <v>16604</v>
      </c>
      <c r="L322" s="453" t="s">
        <v>16605</v>
      </c>
      <c r="M322" s="453" t="s">
        <v>15554</v>
      </c>
      <c r="N322" s="453" t="s">
        <v>15511</v>
      </c>
      <c r="O322" s="453" t="s">
        <v>15807</v>
      </c>
      <c r="P322" s="454" t="s">
        <v>499</v>
      </c>
      <c r="Q322" s="455" t="s">
        <v>15520</v>
      </c>
      <c r="R322" s="217" t="str">
        <f ca="1">IF(ISERROR($V322),"",OFFSET('Smelter Look-up'!$C$4,$V322-4,0)&amp;"")</f>
        <v/>
      </c>
      <c r="S322" s="225" t="str">
        <f t="shared" ca="1" si="42"/>
        <v>CN</v>
      </c>
      <c r="T322" s="225" t="str">
        <f ca="1">IF(B322="","",IF(ISERROR(MATCH($J322,SorP!$B$1:$B$6230,0)),"",INDIRECT("'SorP'!$A$"&amp;MATCH($J322,SorP!$B$1:$B$6230,0))))</f>
        <v/>
      </c>
      <c r="U322" s="241"/>
      <c r="V322" s="275" t="e">
        <f>IF(C322="",NA(),MATCH($B322&amp;$C322,'Smelter Look-up'!$J:$J,0))</f>
        <v>#N/A</v>
      </c>
      <c r="W322" s="276"/>
      <c r="X322" s="276">
        <f t="shared" si="43"/>
        <v>0</v>
      </c>
      <c r="Y322" s="276"/>
      <c r="Z322" s="276"/>
      <c r="AB322" s="278" t="str">
        <f t="shared" si="44"/>
        <v>TantalumJiujiang Janny New Material Co., Ltd.</v>
      </c>
    </row>
    <row r="323" spans="1:28" s="277" customFormat="1" ht="24.75">
      <c r="A323" s="216" t="s">
        <v>14412</v>
      </c>
      <c r="B323" s="480" t="s">
        <v>1154</v>
      </c>
      <c r="C323" s="450" t="s">
        <v>13271</v>
      </c>
      <c r="D323" s="480"/>
      <c r="E323" s="480" t="s">
        <v>1128</v>
      </c>
      <c r="F323" s="480" t="s">
        <v>14412</v>
      </c>
      <c r="G323" s="480" t="s">
        <v>13577</v>
      </c>
      <c r="H323" s="499" t="s">
        <v>16606</v>
      </c>
      <c r="I323" s="499" t="s">
        <v>16607</v>
      </c>
      <c r="J323" s="499" t="s">
        <v>13183</v>
      </c>
      <c r="K323" s="453" t="s">
        <v>14249</v>
      </c>
      <c r="L323" s="453" t="s">
        <v>14249</v>
      </c>
      <c r="M323" s="453" t="s">
        <v>16608</v>
      </c>
      <c r="N323" s="453" t="s">
        <v>15511</v>
      </c>
      <c r="O323" s="453" t="s">
        <v>16609</v>
      </c>
      <c r="P323" s="216"/>
      <c r="Q323" s="453" t="s">
        <v>15513</v>
      </c>
      <c r="R323" s="217" t="str">
        <f ca="1">IF(ISERROR($V323),"",OFFSET('Smelter Look-up'!$C$4,$V323-4,0)&amp;"")</f>
        <v>PT Bangka Serumpun</v>
      </c>
      <c r="S323" s="225" t="str">
        <f t="shared" ca="1" si="42"/>
        <v>ID</v>
      </c>
      <c r="T323" s="225" t="str">
        <f ca="1">IF(B323="","",IF(ISERROR(MATCH($J323,SorP!$B$1:$B$6230,0)),"",INDIRECT("'SorP'!$A$"&amp;MATCH($J323,SorP!$B$1:$B$6230,0))))</f>
        <v>ID-BB</v>
      </c>
      <c r="U323" s="241"/>
      <c r="V323" s="275">
        <f>IF(C323="",NA(),MATCH($B323&amp;$C323,'Smelter Look-up'!$J:$J,0))</f>
        <v>440</v>
      </c>
      <c r="W323" s="276"/>
      <c r="X323" s="276">
        <f t="shared" si="43"/>
        <v>0</v>
      </c>
      <c r="Y323" s="276"/>
      <c r="Z323" s="276"/>
      <c r="AB323" s="278" t="str">
        <f t="shared" si="44"/>
        <v>TinPT Bangka Serumpun</v>
      </c>
    </row>
    <row r="324" spans="1:28" s="277" customFormat="1" ht="24.75">
      <c r="A324" s="216" t="s">
        <v>13521</v>
      </c>
      <c r="B324" s="217" t="s">
        <v>1154</v>
      </c>
      <c r="C324" s="450" t="s">
        <v>13520</v>
      </c>
      <c r="D324" s="217"/>
      <c r="E324" s="217" t="s">
        <v>2576</v>
      </c>
      <c r="F324" s="217" t="s">
        <v>13521</v>
      </c>
      <c r="G324" s="217" t="s">
        <v>13577</v>
      </c>
      <c r="H324" s="451" t="s">
        <v>14249</v>
      </c>
      <c r="I324" s="452" t="s">
        <v>13522</v>
      </c>
      <c r="J324" s="452" t="s">
        <v>1774</v>
      </c>
      <c r="K324" s="453" t="s">
        <v>14249</v>
      </c>
      <c r="L324" s="453" t="s">
        <v>14249</v>
      </c>
      <c r="M324" s="453" t="s">
        <v>15752</v>
      </c>
      <c r="N324" s="453" t="s">
        <v>14249</v>
      </c>
      <c r="O324" s="453" t="s">
        <v>14249</v>
      </c>
      <c r="P324" s="454" t="s">
        <v>499</v>
      </c>
      <c r="Q324" s="455" t="s">
        <v>14249</v>
      </c>
      <c r="R324" s="217" t="str">
        <f ca="1">IF(ISERROR($V324),"",OFFSET('Smelter Look-up'!$C$4,$V324-4,0)&amp;"")</f>
        <v>Tin Technology &amp; Refining</v>
      </c>
      <c r="S324" s="225" t="str">
        <f t="shared" ca="1" si="42"/>
        <v>US</v>
      </c>
      <c r="T324" s="225" t="str">
        <f ca="1">IF(B324="","",IF(ISERROR(MATCH($J324,SorP!$B$1:$B$6230,0)),"",INDIRECT("'SorP'!$A$"&amp;MATCH($J324,SorP!$B$1:$B$6230,0))))</f>
        <v>US-PA</v>
      </c>
      <c r="U324" s="241"/>
      <c r="V324" s="275">
        <f>IF(C324="",NA(),MATCH($B324&amp;$C324,'Smelter Look-up'!$J:$J,0))</f>
        <v>461</v>
      </c>
      <c r="W324" s="276"/>
      <c r="X324" s="276">
        <f t="shared" si="43"/>
        <v>0</v>
      </c>
      <c r="Y324" s="276"/>
      <c r="Z324" s="276"/>
      <c r="AB324" s="278" t="str">
        <f t="shared" si="44"/>
        <v>TinTin Technology &amp; Refining</v>
      </c>
    </row>
    <row r="325" spans="1:28" s="277" customFormat="1" ht="20.25">
      <c r="A325" s="216"/>
      <c r="B325" s="217" t="s">
        <v>14249</v>
      </c>
      <c r="C325" s="450" t="s">
        <v>14249</v>
      </c>
      <c r="D325" s="217"/>
      <c r="E325" s="217" t="s">
        <v>14249</v>
      </c>
      <c r="F325" s="217" t="s">
        <v>14249</v>
      </c>
      <c r="G325" s="217" t="s">
        <v>14249</v>
      </c>
      <c r="H325" s="451" t="s">
        <v>14249</v>
      </c>
      <c r="I325" s="452" t="s">
        <v>14249</v>
      </c>
      <c r="J325" s="452" t="s">
        <v>14249</v>
      </c>
      <c r="K325" s="453"/>
      <c r="L325" s="453"/>
      <c r="M325" s="453"/>
      <c r="N325" s="453"/>
      <c r="O325" s="453"/>
      <c r="P325" s="454"/>
      <c r="Q325" s="455"/>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si="46">IF(AND(C325="Smelter not listed",OR(LEN(D325)=0,LEN(E325)=0)),1,0)</f>
        <v>0</v>
      </c>
      <c r="Y325" s="276"/>
      <c r="Z325" s="276"/>
      <c r="AB325" s="278" t="str">
        <f t="shared" ref="AB325" si="47">B325&amp;C325</f>
        <v/>
      </c>
    </row>
    <row r="326" spans="1:28" s="277" customFormat="1" ht="20.25">
      <c r="A326" s="216"/>
      <c r="B326" s="217" t="s">
        <v>14249</v>
      </c>
      <c r="C326" s="450" t="s">
        <v>14249</v>
      </c>
      <c r="D326" s="217"/>
      <c r="E326" s="217" t="s">
        <v>14249</v>
      </c>
      <c r="F326" s="217" t="s">
        <v>14249</v>
      </c>
      <c r="G326" s="217" t="s">
        <v>14249</v>
      </c>
      <c r="H326" s="451" t="s">
        <v>14249</v>
      </c>
      <c r="I326" s="452" t="s">
        <v>14249</v>
      </c>
      <c r="J326" s="452" t="s">
        <v>14249</v>
      </c>
      <c r="K326" s="453"/>
      <c r="L326" s="453"/>
      <c r="M326" s="453"/>
      <c r="N326" s="453"/>
      <c r="O326" s="453"/>
      <c r="P326" s="454"/>
      <c r="Q326" s="455"/>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1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2.75" thickTop="1">
      <c r="U2506" s="282"/>
      <c r="V2506" s="282"/>
      <c r="W2506" s="282"/>
      <c r="X2506" s="282"/>
      <c r="Y2506" s="282"/>
      <c r="Z2506" s="282"/>
    </row>
    <row r="2507" spans="1:28">
      <c r="U2507" s="282"/>
      <c r="V2507" s="282"/>
      <c r="W2507" s="282"/>
      <c r="X2507" s="282"/>
      <c r="Y2507" s="282"/>
      <c r="Z2507" s="282"/>
    </row>
    <row r="2508" spans="1:28" ht="12.7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151" priority="136" stopIfTrue="1">
      <formula>IF(B586="",TRUE)</formula>
    </cfRule>
    <cfRule type="expression" dxfId="150" priority="147" stopIfTrue="1">
      <formula>IF(AND(COUNTIF(MetalSmelter,B586&amp;C586)=0,LEN(C586)&gt;0),TRUE,FALSE)</formula>
    </cfRule>
  </conditionalFormatting>
  <conditionalFormatting sqref="D586:D2504">
    <cfRule type="expression" dxfId="149" priority="130" stopIfTrue="1">
      <formula>IF(AND(LEN($C586)&gt;0,($C586&lt;&gt;"Smelter Not Listed")),1,0)</formula>
    </cfRule>
    <cfRule type="expression" dxfId="148" priority="155" stopIfTrue="1">
      <formula>IF(AND(D586="",$C586=$X$4),TRUE)</formula>
    </cfRule>
    <cfRule type="expression" dxfId="147" priority="156" stopIfTrue="1">
      <formula>IF(FIND("!",D586),TRUE)</formula>
    </cfRule>
  </conditionalFormatting>
  <conditionalFormatting sqref="G586:G2504">
    <cfRule type="expression" dxfId="146" priority="157" stopIfTrue="1">
      <formula>IF(FIND("Enter smelter details",G586),TRUE)</formula>
    </cfRule>
  </conditionalFormatting>
  <conditionalFormatting sqref="R586:R2505 E586:E2504">
    <cfRule type="expression" dxfId="145" priority="143" stopIfTrue="1">
      <formula>IF(AND(E586="",$C586=$X$4),TRUE)</formula>
    </cfRule>
    <cfRule type="expression" dxfId="144" priority="144" stopIfTrue="1">
      <formula>IF(FIND("!",E586),TRUE)</formula>
    </cfRule>
  </conditionalFormatting>
  <conditionalFormatting sqref="F586:F2504">
    <cfRule type="expression" dxfId="143" priority="134" stopIfTrue="1">
      <formula>IF(AND(LEN($A586)&gt;0,$A586&lt;&gt;$F586),TRUE,FALSE)</formula>
    </cfRule>
  </conditionalFormatting>
  <conditionalFormatting sqref="C586:C2504">
    <cfRule type="expression" dxfId="142" priority="133" stopIfTrue="1">
      <formula>IF(AND(B586&lt;&gt;"",C586=""),TRUE)</formula>
    </cfRule>
  </conditionalFormatting>
  <conditionalFormatting sqref="B327:B585">
    <cfRule type="expression" dxfId="141" priority="112" stopIfTrue="1">
      <formula>IF(B327="",TRUE)</formula>
    </cfRule>
    <cfRule type="expression" dxfId="140" priority="115" stopIfTrue="1">
      <formula>IF(AND(COUNTIF(MetalSmelter,B327&amp;C327)=0,LEN(C327)&gt;0),TRUE,FALSE)</formula>
    </cfRule>
  </conditionalFormatting>
  <conditionalFormatting sqref="D327:D585">
    <cfRule type="expression" dxfId="139" priority="109" stopIfTrue="1">
      <formula>IF(AND(LEN($C327)&gt;0,($C327&lt;&gt;"Smelter Not Listed")),1,0)</formula>
    </cfRule>
    <cfRule type="expression" dxfId="138" priority="116" stopIfTrue="1">
      <formula>IF(AND(D327="",$C327=$X$4),TRUE)</formula>
    </cfRule>
    <cfRule type="expression" dxfId="137" priority="117" stopIfTrue="1">
      <formula>IF(FIND("!",D327),TRUE)</formula>
    </cfRule>
  </conditionalFormatting>
  <conditionalFormatting sqref="G327:G585">
    <cfRule type="expression" dxfId="136" priority="118" stopIfTrue="1">
      <formula>IF(FIND("Enter smelter details",G327),TRUE)</formula>
    </cfRule>
  </conditionalFormatting>
  <conditionalFormatting sqref="R5:R585 E327:E585">
    <cfRule type="expression" dxfId="135" priority="113" stopIfTrue="1">
      <formula>IF(AND(E5="",$C5=$X$4),TRUE)</formula>
    </cfRule>
    <cfRule type="expression" dxfId="134" priority="114" stopIfTrue="1">
      <formula>IF(FIND("!",E5),TRUE)</formula>
    </cfRule>
  </conditionalFormatting>
  <conditionalFormatting sqref="F327:F585">
    <cfRule type="expression" dxfId="133" priority="111" stopIfTrue="1">
      <formula>IF(AND(LEN($A327)&gt;0,$A327&lt;&gt;$F327),TRUE,FALSE)</formula>
    </cfRule>
  </conditionalFormatting>
  <conditionalFormatting sqref="C327:C585">
    <cfRule type="expression" dxfId="132" priority="110" stopIfTrue="1">
      <formula>IF(AND(B327&lt;&gt;"",C327=""),TRUE)</formula>
    </cfRule>
  </conditionalFormatting>
  <conditionalFormatting sqref="B325:B326">
    <cfRule type="expression" dxfId="97" priority="92" stopIfTrue="1">
      <formula>IF(B325="",TRUE)</formula>
    </cfRule>
    <cfRule type="expression" dxfId="96" priority="95" stopIfTrue="1">
      <formula>IF(AND(COUNTIF(MetalSmelter,B325&amp;C325)=0,LEN(C325)&gt;0), TRUE, FALSE)</formula>
    </cfRule>
  </conditionalFormatting>
  <conditionalFormatting sqref="D325:D326">
    <cfRule type="expression" dxfId="95" priority="89" stopIfTrue="1">
      <formula>IF(AND(LEN($C325) &gt;0, ($C325 &lt;&gt; "Smelter Not Listed")),1,0)</formula>
    </cfRule>
    <cfRule type="expression" dxfId="94" priority="96" stopIfTrue="1">
      <formula>IF(AND(D325="",$C325=$X$4),TRUE)</formula>
    </cfRule>
    <cfRule type="expression" dxfId="93" priority="97" stopIfTrue="1">
      <formula>IF(FIND("!",D325),TRUE)</formula>
    </cfRule>
  </conditionalFormatting>
  <conditionalFormatting sqref="G325:G326">
    <cfRule type="expression" dxfId="92" priority="98" stopIfTrue="1">
      <formula>IF(FIND("Enter smelter details",G325),TRUE)</formula>
    </cfRule>
  </conditionalFormatting>
  <conditionalFormatting sqref="E325:E326">
    <cfRule type="expression" dxfId="91" priority="93" stopIfTrue="1">
      <formula>IF(AND(E325="",$C325=$X$4),TRUE)</formula>
    </cfRule>
    <cfRule type="expression" dxfId="90" priority="94" stopIfTrue="1">
      <formula>IF(FIND("!",E325),TRUE)</formula>
    </cfRule>
  </conditionalFormatting>
  <conditionalFormatting sqref="F325:F326">
    <cfRule type="expression" dxfId="89" priority="91" stopIfTrue="1">
      <formula>IF(AND(LEN($A325)&gt;0,$A325&lt;&gt;$F325),TRUE,FALSE)</formula>
    </cfRule>
  </conditionalFormatting>
  <conditionalFormatting sqref="C325:C326">
    <cfRule type="expression" dxfId="88" priority="90" stopIfTrue="1">
      <formula>IF(AND(B325&lt;&gt;"",C325=""),TRUE)</formula>
    </cfRule>
  </conditionalFormatting>
  <conditionalFormatting sqref="B263 B265:B282 B296:B310 B5:B254">
    <cfRule type="expression" dxfId="87" priority="86" stopIfTrue="1">
      <formula>IF(B5="",TRUE)</formula>
    </cfRule>
    <cfRule type="expression" dxfId="86" priority="87" stopIfTrue="1">
      <formula>IF(AND(COUNTIF(MetalSmelter,B5&amp;C5)=0,LEN(C5)&gt;0), TRUE, FALSE)</formula>
    </cfRule>
  </conditionalFormatting>
  <conditionalFormatting sqref="G5:G310">
    <cfRule type="expression" dxfId="85" priority="88" stopIfTrue="1">
      <formula>IF(FIND("Enter smelter details",G5),TRUE)</formula>
    </cfRule>
  </conditionalFormatting>
  <conditionalFormatting sqref="F263 F265:F283 F296:F310 F5:F254">
    <cfRule type="expression" dxfId="84" priority="85" stopIfTrue="1">
      <formula>IF(AND(LEN($A5)&gt;0,$A5&lt;&gt;$F5),TRUE,FALSE)</formula>
    </cfRule>
  </conditionalFormatting>
  <conditionalFormatting sqref="C263 C265:C283 C296:C310 C5:C254">
    <cfRule type="expression" dxfId="83" priority="84" stopIfTrue="1">
      <formula>IF(AND(B5&lt;&gt;"",C5=""),TRUE)</formula>
    </cfRule>
  </conditionalFormatting>
  <conditionalFormatting sqref="A263">
    <cfRule type="expression" dxfId="82" priority="78" stopIfTrue="1">
      <formula>IF(AND(LEN($A263)&gt;0,$A263&lt;&gt;$F263),TRUE,FALSE)</formula>
    </cfRule>
  </conditionalFormatting>
  <conditionalFormatting sqref="B283">
    <cfRule type="expression" dxfId="81" priority="77" stopIfTrue="1">
      <formula>IF(B283="",TRUE)</formula>
    </cfRule>
  </conditionalFormatting>
  <conditionalFormatting sqref="D263 D265:D281 D296:D310 D5:D254">
    <cfRule type="expression" dxfId="80" priority="79" stopIfTrue="1">
      <formula>IF(AND(LEN($C5) &gt;0, ($C5 &lt;&gt; "Smelter Not Listed")),1,0)</formula>
    </cfRule>
    <cfRule type="expression" dxfId="79" priority="80" stopIfTrue="1">
      <formula>IF(AND(D5="",$C5=#REF!),TRUE)</formula>
    </cfRule>
    <cfRule type="expression" dxfId="78" priority="81" stopIfTrue="1">
      <formula>IF(FIND("!",D5),TRUE)</formula>
    </cfRule>
  </conditionalFormatting>
  <conditionalFormatting sqref="E263 E265:E281 D282:E283 E296:E310 E5:E254">
    <cfRule type="expression" dxfId="77" priority="82" stopIfTrue="1">
      <formula>IF(AND(D5="",$C5=#REF!),TRUE)</formula>
    </cfRule>
    <cfRule type="expression" dxfId="76" priority="83" stopIfTrue="1">
      <formula>IF(FIND("!",D5),TRUE)</formula>
    </cfRule>
  </conditionalFormatting>
  <conditionalFormatting sqref="B311">
    <cfRule type="expression" dxfId="75" priority="70" stopIfTrue="1">
      <formula>IF(B311="",TRUE)</formula>
    </cfRule>
    <cfRule type="expression" dxfId="74" priority="73" stopIfTrue="1">
      <formula>IF(AND(COUNTIF(MetalSmelter,B311&amp;C311)=0,LEN(C311)&gt;0), TRUE, FALSE)</formula>
    </cfRule>
  </conditionalFormatting>
  <conditionalFormatting sqref="D311:D324">
    <cfRule type="expression" dxfId="73" priority="67" stopIfTrue="1">
      <formula>IF(AND(LEN($C311) &gt;0, ($C311 &lt;&gt; "Smelter Not Listed")),1,0)</formula>
    </cfRule>
    <cfRule type="expression" dxfId="72" priority="74" stopIfTrue="1">
      <formula>IF(AND(D311="",$C311=$X$4),TRUE)</formula>
    </cfRule>
    <cfRule type="expression" dxfId="71" priority="75" stopIfTrue="1">
      <formula>IF(FIND("!",D311),TRUE)</formula>
    </cfRule>
  </conditionalFormatting>
  <conditionalFormatting sqref="G311">
    <cfRule type="expression" dxfId="70" priority="76" stopIfTrue="1">
      <formula>IF(FIND("Enter smelter details",G311),TRUE)</formula>
    </cfRule>
  </conditionalFormatting>
  <conditionalFormatting sqref="E311:E324">
    <cfRule type="expression" dxfId="69" priority="71" stopIfTrue="1">
      <formula>IF(AND(E311="",$C311=$X$4),TRUE)</formula>
    </cfRule>
    <cfRule type="expression" dxfId="68" priority="72" stopIfTrue="1">
      <formula>IF(FIND("!",E311),TRUE)</formula>
    </cfRule>
  </conditionalFormatting>
  <conditionalFormatting sqref="F311">
    <cfRule type="expression" dxfId="67" priority="69" stopIfTrue="1">
      <formula>IF(AND(LEN($A311)&gt;0,$A311&lt;&gt;$F311),TRUE,FALSE)</formula>
    </cfRule>
  </conditionalFormatting>
  <conditionalFormatting sqref="C311">
    <cfRule type="expression" dxfId="66" priority="68" stopIfTrue="1">
      <formula>IF(AND(B311&lt;&gt;"",C311=""),TRUE)</formula>
    </cfRule>
  </conditionalFormatting>
  <conditionalFormatting sqref="B312">
    <cfRule type="expression" dxfId="65" priority="64" stopIfTrue="1">
      <formula>IF(B312="",TRUE)</formula>
    </cfRule>
    <cfRule type="expression" dxfId="64" priority="65" stopIfTrue="1">
      <formula>IF(AND(COUNTIF(MetalSmelter,B312&amp;C312)=0,LEN(C312)&gt;0), TRUE, FALSE)</formula>
    </cfRule>
  </conditionalFormatting>
  <conditionalFormatting sqref="G312">
    <cfRule type="expression" dxfId="63" priority="66" stopIfTrue="1">
      <formula>IF(FIND("Enter smelter details",G312),TRUE)</formula>
    </cfRule>
  </conditionalFormatting>
  <conditionalFormatting sqref="F312">
    <cfRule type="expression" dxfId="62" priority="63" stopIfTrue="1">
      <formula>IF(AND(LEN($A312)&gt;0,$A312&lt;&gt;$F312),TRUE,FALSE)</formula>
    </cfRule>
  </conditionalFormatting>
  <conditionalFormatting sqref="C312">
    <cfRule type="expression" dxfId="61" priority="62" stopIfTrue="1">
      <formula>IF(AND(B312&lt;&gt;"",C312=""),TRUE)</formula>
    </cfRule>
  </conditionalFormatting>
  <conditionalFormatting sqref="B313">
    <cfRule type="expression" dxfId="60" priority="59" stopIfTrue="1">
      <formula>IF(B313="",TRUE)</formula>
    </cfRule>
    <cfRule type="expression" dxfId="59" priority="60" stopIfTrue="1">
      <formula>IF(AND(COUNTIF(MetalSmelter,B313&amp;C313)=0,LEN(C313)&gt;0), TRUE, FALSE)</formula>
    </cfRule>
  </conditionalFormatting>
  <conditionalFormatting sqref="G313">
    <cfRule type="expression" dxfId="58" priority="61" stopIfTrue="1">
      <formula>IF(FIND("Enter smelter details",G313),TRUE)</formula>
    </cfRule>
  </conditionalFormatting>
  <conditionalFormatting sqref="F313">
    <cfRule type="expression" dxfId="57" priority="58" stopIfTrue="1">
      <formula>IF(AND(LEN($A313)&gt;0,$A313&lt;&gt;$F313),TRUE,FALSE)</formula>
    </cfRule>
  </conditionalFormatting>
  <conditionalFormatting sqref="C313">
    <cfRule type="expression" dxfId="56" priority="57" stopIfTrue="1">
      <formula>IF(AND(B313&lt;&gt;"",C313=""),TRUE)</formula>
    </cfRule>
  </conditionalFormatting>
  <conditionalFormatting sqref="B314">
    <cfRule type="expression" dxfId="55" priority="54" stopIfTrue="1">
      <formula>IF(B314="",TRUE)</formula>
    </cfRule>
    <cfRule type="expression" dxfId="54" priority="55" stopIfTrue="1">
      <formula>IF(AND(COUNTIF(MetalSmelter,B314&amp;C314)=0,LEN(C314)&gt;0), TRUE, FALSE)</formula>
    </cfRule>
  </conditionalFormatting>
  <conditionalFormatting sqref="G314">
    <cfRule type="expression" dxfId="53" priority="56" stopIfTrue="1">
      <formula>IF(FIND("Enter smelter details",G314),TRUE)</formula>
    </cfRule>
  </conditionalFormatting>
  <conditionalFormatting sqref="F314">
    <cfRule type="expression" dxfId="52" priority="53" stopIfTrue="1">
      <formula>IF(AND(LEN($A314)&gt;0,$A314&lt;&gt;$F314),TRUE,FALSE)</formula>
    </cfRule>
  </conditionalFormatting>
  <conditionalFormatting sqref="C314">
    <cfRule type="expression" dxfId="51" priority="52" stopIfTrue="1">
      <formula>IF(AND(B314&lt;&gt;"",C314=""),TRUE)</formula>
    </cfRule>
  </conditionalFormatting>
  <conditionalFormatting sqref="B315">
    <cfRule type="expression" dxfId="50" priority="49" stopIfTrue="1">
      <formula>IF(B315="",TRUE)</formula>
    </cfRule>
    <cfRule type="expression" dxfId="49" priority="50" stopIfTrue="1">
      <formula>IF(AND(COUNTIF(MetalSmelter,B315&amp;C315)=0,LEN(C315)&gt;0), TRUE, FALSE)</formula>
    </cfRule>
  </conditionalFormatting>
  <conditionalFormatting sqref="G315">
    <cfRule type="expression" dxfId="48" priority="51" stopIfTrue="1">
      <formula>IF(FIND("Enter smelter details",G315),TRUE)</formula>
    </cfRule>
  </conditionalFormatting>
  <conditionalFormatting sqref="F315">
    <cfRule type="expression" dxfId="47" priority="48" stopIfTrue="1">
      <formula>IF(AND(LEN($A315)&gt;0,$A315&lt;&gt;$F315),TRUE,FALSE)</formula>
    </cfRule>
  </conditionalFormatting>
  <conditionalFormatting sqref="C315">
    <cfRule type="expression" dxfId="46" priority="47" stopIfTrue="1">
      <formula>IF(AND(B315&lt;&gt;"",C315=""),TRUE)</formula>
    </cfRule>
  </conditionalFormatting>
  <conditionalFormatting sqref="B316">
    <cfRule type="expression" dxfId="45" priority="44" stopIfTrue="1">
      <formula>IF(B316="",TRUE)</formula>
    </cfRule>
    <cfRule type="expression" dxfId="44" priority="45" stopIfTrue="1">
      <formula>IF(AND(COUNTIF(MetalSmelter,B316&amp;C316)=0,LEN(C316)&gt;0), TRUE, FALSE)</formula>
    </cfRule>
  </conditionalFormatting>
  <conditionalFormatting sqref="G316">
    <cfRule type="expression" dxfId="43" priority="46" stopIfTrue="1">
      <formula>IF(FIND("Enter smelter details",G316),TRUE)</formula>
    </cfRule>
  </conditionalFormatting>
  <conditionalFormatting sqref="F316">
    <cfRule type="expression" dxfId="42" priority="43" stopIfTrue="1">
      <formula>IF(AND(LEN($A316)&gt;0,$A316&lt;&gt;$F316),TRUE,FALSE)</formula>
    </cfRule>
  </conditionalFormatting>
  <conditionalFormatting sqref="C316">
    <cfRule type="expression" dxfId="41" priority="42" stopIfTrue="1">
      <formula>IF(AND(B316&lt;&gt;"",C316=""),TRUE)</formula>
    </cfRule>
  </conditionalFormatting>
  <conditionalFormatting sqref="B317">
    <cfRule type="expression" dxfId="40" priority="39" stopIfTrue="1">
      <formula>IF(B317="",TRUE)</formula>
    </cfRule>
    <cfRule type="expression" dxfId="39" priority="40" stopIfTrue="1">
      <formula>IF(AND(COUNTIF(MetalSmelter,B317&amp;C317)=0,LEN(C317)&gt;0), TRUE, FALSE)</formula>
    </cfRule>
  </conditionalFormatting>
  <conditionalFormatting sqref="G317">
    <cfRule type="expression" dxfId="38" priority="41" stopIfTrue="1">
      <formula>IF(FIND("Enter smelter details",G317),TRUE)</formula>
    </cfRule>
  </conditionalFormatting>
  <conditionalFormatting sqref="F317">
    <cfRule type="expression" dxfId="37" priority="38" stopIfTrue="1">
      <formula>IF(AND(LEN($A317)&gt;0,$A317&lt;&gt;$F317),TRUE,FALSE)</formula>
    </cfRule>
  </conditionalFormatting>
  <conditionalFormatting sqref="C317">
    <cfRule type="expression" dxfId="36" priority="37" stopIfTrue="1">
      <formula>IF(AND(B317&lt;&gt;"",C317=""),TRUE)</formula>
    </cfRule>
  </conditionalFormatting>
  <conditionalFormatting sqref="B318">
    <cfRule type="expression" dxfId="35" priority="34" stopIfTrue="1">
      <formula>IF(B318="",TRUE)</formula>
    </cfRule>
    <cfRule type="expression" dxfId="34" priority="35" stopIfTrue="1">
      <formula>IF(AND(COUNTIF(MetalSmelter,B318&amp;C318)=0,LEN(C318)&gt;0), TRUE, FALSE)</formula>
    </cfRule>
  </conditionalFormatting>
  <conditionalFormatting sqref="G318">
    <cfRule type="expression" dxfId="33" priority="36" stopIfTrue="1">
      <formula>IF(FIND("Enter smelter details",G318),TRUE)</formula>
    </cfRule>
  </conditionalFormatting>
  <conditionalFormatting sqref="F318">
    <cfRule type="expression" dxfId="32" priority="33" stopIfTrue="1">
      <formula>IF(AND(LEN($A318)&gt;0,$A318&lt;&gt;$F318),TRUE,FALSE)</formula>
    </cfRule>
  </conditionalFormatting>
  <conditionalFormatting sqref="C318">
    <cfRule type="expression" dxfId="31" priority="32" stopIfTrue="1">
      <formula>IF(AND(B318&lt;&gt;"",C318=""),TRUE)</formula>
    </cfRule>
  </conditionalFormatting>
  <conditionalFormatting sqref="B319">
    <cfRule type="expression" dxfId="30" priority="29" stopIfTrue="1">
      <formula>IF(B319="",TRUE)</formula>
    </cfRule>
    <cfRule type="expression" dxfId="29" priority="30" stopIfTrue="1">
      <formula>IF(AND(COUNTIF(MetalSmelter,B319&amp;C319)=0,LEN(C319)&gt;0), TRUE, FALSE)</formula>
    </cfRule>
  </conditionalFormatting>
  <conditionalFormatting sqref="G319">
    <cfRule type="expression" dxfId="28" priority="31" stopIfTrue="1">
      <formula>IF(FIND("Enter smelter details",G319),TRUE)</formula>
    </cfRule>
  </conditionalFormatting>
  <conditionalFormatting sqref="F319">
    <cfRule type="expression" dxfId="27" priority="28" stopIfTrue="1">
      <formula>IF(AND(LEN($A319)&gt;0,$A319&lt;&gt;$F319),TRUE,FALSE)</formula>
    </cfRule>
  </conditionalFormatting>
  <conditionalFormatting sqref="C319">
    <cfRule type="expression" dxfId="26" priority="27" stopIfTrue="1">
      <formula>IF(AND(B319&lt;&gt;"",C319=""),TRUE)</formula>
    </cfRule>
  </conditionalFormatting>
  <conditionalFormatting sqref="B320">
    <cfRule type="expression" dxfId="25" priority="24" stopIfTrue="1">
      <formula>IF(B320="",TRUE)</formula>
    </cfRule>
    <cfRule type="expression" dxfId="24" priority="25" stopIfTrue="1">
      <formula>IF(AND(COUNTIF(MetalSmelter,B320&amp;C320)=0,LEN(C320)&gt;0), TRUE, FALSE)</formula>
    </cfRule>
  </conditionalFormatting>
  <conditionalFormatting sqref="G320">
    <cfRule type="expression" dxfId="23" priority="26" stopIfTrue="1">
      <formula>IF(FIND("Enter smelter details",G320),TRUE)</formula>
    </cfRule>
  </conditionalFormatting>
  <conditionalFormatting sqref="F320">
    <cfRule type="expression" dxfId="22" priority="23" stopIfTrue="1">
      <formula>IF(AND(LEN($A320)&gt;0,$A320&lt;&gt;$F320),TRUE,FALSE)</formula>
    </cfRule>
  </conditionalFormatting>
  <conditionalFormatting sqref="C320">
    <cfRule type="expression" dxfId="21" priority="22" stopIfTrue="1">
      <formula>IF(AND(B320&lt;&gt;"",C320=""),TRUE)</formula>
    </cfRule>
  </conditionalFormatting>
  <conditionalFormatting sqref="B321">
    <cfRule type="expression" dxfId="20" priority="19" stopIfTrue="1">
      <formula>IF(B321="",TRUE)</formula>
    </cfRule>
    <cfRule type="expression" dxfId="19" priority="20" stopIfTrue="1">
      <formula>IF(AND(COUNTIF(MetalSmelter,B321&amp;C321)=0,LEN(C321)&gt;0), TRUE, FALSE)</formula>
    </cfRule>
  </conditionalFormatting>
  <conditionalFormatting sqref="G321">
    <cfRule type="expression" dxfId="18" priority="21" stopIfTrue="1">
      <formula>IF(FIND("Enter smelter details",G321),TRUE)</formula>
    </cfRule>
  </conditionalFormatting>
  <conditionalFormatting sqref="F321">
    <cfRule type="expression" dxfId="17" priority="18" stopIfTrue="1">
      <formula>IF(AND(LEN($A321)&gt;0,$A321&lt;&gt;$F321),TRUE,FALSE)</formula>
    </cfRule>
  </conditionalFormatting>
  <conditionalFormatting sqref="C321">
    <cfRule type="expression" dxfId="16" priority="17" stopIfTrue="1">
      <formula>IF(AND(B321&lt;&gt;"",C321=""),TRUE)</formula>
    </cfRule>
  </conditionalFormatting>
  <conditionalFormatting sqref="B322">
    <cfRule type="expression" dxfId="15" priority="14" stopIfTrue="1">
      <formula>IF(B322="",TRUE)</formula>
    </cfRule>
    <cfRule type="expression" dxfId="14" priority="15" stopIfTrue="1">
      <formula>IF(AND(COUNTIF(MetalSmelter,B322&amp;C322)=0,LEN(C322)&gt;0), TRUE, FALSE)</formula>
    </cfRule>
  </conditionalFormatting>
  <conditionalFormatting sqref="G322">
    <cfRule type="expression" dxfId="13" priority="16" stopIfTrue="1">
      <formula>IF(FIND("Enter smelter details",G322),TRUE)</formula>
    </cfRule>
  </conditionalFormatting>
  <conditionalFormatting sqref="F322">
    <cfRule type="expression" dxfId="12" priority="13" stopIfTrue="1">
      <formula>IF(AND(LEN($A322)&gt;0,$A322&lt;&gt;$F322),TRUE,FALSE)</formula>
    </cfRule>
  </conditionalFormatting>
  <conditionalFormatting sqref="C322">
    <cfRule type="expression" dxfId="11" priority="12" stopIfTrue="1">
      <formula>IF(AND(B322&lt;&gt;"",C322=""),TRUE)</formula>
    </cfRule>
  </conditionalFormatting>
  <conditionalFormatting sqref="B323">
    <cfRule type="expression" dxfId="10" priority="9" stopIfTrue="1">
      <formula>IF(B323="",TRUE)</formula>
    </cfRule>
    <cfRule type="expression" dxfId="9" priority="10" stopIfTrue="1">
      <formula>IF(AND(COUNTIF(MetalSmelter,B323&amp;C323)=0,LEN(C323)&gt;0), TRUE, FALSE)</formula>
    </cfRule>
  </conditionalFormatting>
  <conditionalFormatting sqref="G323">
    <cfRule type="expression" dxfId="8" priority="11" stopIfTrue="1">
      <formula>IF(FIND("Enter smelter details",G323),TRUE)</formula>
    </cfRule>
  </conditionalFormatting>
  <conditionalFormatting sqref="F323">
    <cfRule type="expression" dxfId="7" priority="8" stopIfTrue="1">
      <formula>IF(AND(LEN($A323)&gt;0,$A323&lt;&gt;$F323),TRUE,FALSE)</formula>
    </cfRule>
  </conditionalFormatting>
  <conditionalFormatting sqref="C323">
    <cfRule type="expression" dxfId="6" priority="7" stopIfTrue="1">
      <formula>IF(AND(B323&lt;&gt;"",C323=""),TRUE)</formula>
    </cfRule>
  </conditionalFormatting>
  <conditionalFormatting sqref="A323">
    <cfRule type="expression" dxfId="5" priority="6" stopIfTrue="1">
      <formula>IF(AND(LEN($A323)&gt;0,$A323&lt;&gt;$F323),TRUE,FALSE)</formula>
    </cfRule>
  </conditionalFormatting>
  <conditionalFormatting sqref="B324">
    <cfRule type="expression" dxfId="4" priority="3" stopIfTrue="1">
      <formula>IF(B324="",TRUE)</formula>
    </cfRule>
    <cfRule type="expression" dxfId="3" priority="4" stopIfTrue="1">
      <formula>IF(AND(COUNTIF(MetalSmelter,B324&amp;C324)=0,LEN(C324)&gt;0), TRUE, FALSE)</formula>
    </cfRule>
  </conditionalFormatting>
  <conditionalFormatting sqref="G324">
    <cfRule type="expression" dxfId="2" priority="5" stopIfTrue="1">
      <formula>IF(FIND("Enter smelter details",G324),TRUE)</formula>
    </cfRule>
  </conditionalFormatting>
  <conditionalFormatting sqref="F324">
    <cfRule type="expression" dxfId="1" priority="2" stopIfTrue="1">
      <formula>IF(AND(LEN($A324)&gt;0,$A324&lt;&gt;$F324),TRUE,FALSE)</formula>
    </cfRule>
  </conditionalFormatting>
  <conditionalFormatting sqref="C324">
    <cfRule type="expression" dxfId="0" priority="1" stopIfTrue="1">
      <formula>IF(AND(B324&lt;&gt;"",C324=""),TRUE)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Q9" sqref="Q9"/>
    </sheetView>
  </sheetViews>
  <sheetFormatPr baseColWidth="10" defaultColWidth="8.8203125" defaultRowHeight="12.4"/>
  <cols>
    <col min="1" max="1" width="45.17578125" style="22" customWidth="1"/>
    <col min="2" max="2" width="42.8203125" style="25" customWidth="1"/>
    <col min="3" max="3" width="51.5859375" style="22" customWidth="1"/>
    <col min="4" max="4" width="29.17578125" style="25" customWidth="1"/>
    <col min="5" max="5" width="9" style="24" hidden="1" customWidth="1"/>
    <col min="6" max="6" width="13.5859375" style="22" hidden="1" customWidth="1"/>
    <col min="7" max="7" width="13.3515625" style="22" hidden="1" customWidth="1"/>
    <col min="8" max="8" width="9" style="22" hidden="1" customWidth="1"/>
    <col min="9" max="9" width="9" style="178" hidden="1" customWidth="1"/>
    <col min="10" max="10" width="48.8203125" style="22" hidden="1" customWidth="1"/>
    <col min="11" max="11" width="9" style="22" hidden="1" customWidth="1"/>
    <col min="12" max="14" width="8.8203125" style="22" hidden="1" customWidth="1"/>
    <col min="15" max="18" width="8.8203125" style="22" customWidth="1"/>
    <col min="19" max="16384" width="8.8203125" style="22"/>
  </cols>
  <sheetData>
    <row r="1" spans="1:10" ht="29.25">
      <c r="A1" s="443" t="str">
        <f ca="1">OFFSET(L!$C$1,MATCH("Checker"&amp;ADDRESS(ROW(),COLUMN(),4),L!$A:$A,0)-1,SL,,)</f>
        <v>Um sicherzustellen, dass alle erforderlichen Felder vor dem Versand an ihren Kunden ausgefüllt sind, alle rot markierten Felder beachten.</v>
      </c>
      <c r="B1" s="443"/>
      <c r="C1" s="443"/>
      <c r="D1" s="146" t="str">
        <f ca="1">OFFSET(L!$C$1,MATCH("Checker"&amp;ADDRESS(ROW(),COLUMN(),4),L!$A:$A,0)-1,SL,,)</f>
        <v>Erforderliche Felder bitte vervollständigen.</v>
      </c>
      <c r="E1" s="84" t="s">
        <v>827</v>
      </c>
    </row>
    <row r="2" spans="1:10" ht="14.65">
      <c r="A2" s="77" t="s">
        <v>921</v>
      </c>
      <c r="B2" s="78" t="str">
        <f>IF(F65=1,"Click here to return to Smelter List","")</f>
        <v/>
      </c>
      <c r="C2" s="150" t="str">
        <f>IF(F65=1,"Click here to return to Product List","")</f>
        <v/>
      </c>
      <c r="D2" s="183" t="str">
        <f ca="1">IF(H70=0,"0",H70)</f>
        <v>0</v>
      </c>
    </row>
    <row r="3" spans="1:10" ht="14.65">
      <c r="A3" s="79" t="str">
        <f ca="1">OFFSET(L!$C$1,MATCH("Checker"&amp;ADDRESS(ROW(),COLUMN(),4),L!$A:$A,0)-1,SL,,)</f>
        <v>Erforderliche Felder</v>
      </c>
      <c r="B3" s="79" t="str">
        <f ca="1">OFFSET(L!$C$1,MATCH("Checker"&amp;ADDRESS(ROW(),COLUMN(),4),L!$A:$A,0)-1,SL,,)</f>
        <v>Antwort ist vorhanden</v>
      </c>
      <c r="C3" s="79" t="str">
        <f ca="1">OFFSET(L!$C$1,MATCH("Checker"&amp;ADDRESS(ROW(),COLUMN(),4),L!$A:$A,0)-1,SL,,)</f>
        <v>Notizen</v>
      </c>
      <c r="D3" s="79" t="str">
        <f ca="1">OFFSET(L!$C$1,MATCH("Checker"&amp;ADDRESS(ROW(),COLUMN(),4),L!$A:$A,0)-1,SL,,)</f>
        <v>Hyperlink zum Ursprung</v>
      </c>
      <c r="F3" s="80" t="s">
        <v>537</v>
      </c>
      <c r="G3" s="22" t="s">
        <v>536</v>
      </c>
      <c r="H3" s="22" t="s">
        <v>538</v>
      </c>
      <c r="I3" s="178" t="s">
        <v>1340</v>
      </c>
      <c r="J3" s="22" t="s">
        <v>1341</v>
      </c>
    </row>
    <row r="4" spans="1:10" ht="38.25">
      <c r="A4" s="103" t="str">
        <f ca="1">Declaration!B8</f>
        <v>Firmenname (*):</v>
      </c>
      <c r="B4" s="102" t="str">
        <f>Declaration!D8</f>
        <v>Placetec AG</v>
      </c>
      <c r="C4" s="102" t="str">
        <f t="shared" ref="C4" ca="1" si="0">IF(H4=1,J4,I4)</f>
        <v>Vollständig</v>
      </c>
      <c r="D4" s="108" t="str">
        <f>IF(H4=1,"Click here to enter Company Name","")</f>
        <v/>
      </c>
      <c r="E4" s="84" t="s">
        <v>1330</v>
      </c>
      <c r="F4" s="106">
        <v>1</v>
      </c>
      <c r="G4" s="81">
        <f t="shared" ref="G4" si="1">IF(B4=0,1,0)</f>
        <v>0</v>
      </c>
      <c r="H4" s="82">
        <f>F4*G4</f>
        <v>0</v>
      </c>
      <c r="I4" s="179" t="str">
        <f ca="1">OFFSET(L!$C$1,MATCH("Checker"&amp;"Comp",L!$A:$A,0)-1,SL,,)</f>
        <v>Vollständig</v>
      </c>
      <c r="J4" s="180" t="str">
        <f ca="1">OFFSET(L!$C$1,MATCH("Checker"&amp;ADDRESS(ROW(),COLUMN(),4),L!$A:$A,0)-1,SL,,)</f>
        <v>Geben Sie den Namen Ihres Unternehmens in der Reiterzelle D8 der Erklärung an</v>
      </c>
    </row>
    <row r="5" spans="1:10" ht="38.25">
      <c r="A5" s="103" t="str">
        <f ca="1">Declaration!B9</f>
        <v>Geltungsbereich der Erklärung (*):</v>
      </c>
      <c r="B5" s="102" t="str">
        <f>Declaration!D9</f>
        <v>C. User defined [Specify in 'Description of scope']</v>
      </c>
      <c r="C5" s="102" t="str">
        <f ca="1">IF(H5=1,J5,I5)</f>
        <v>Vollständig</v>
      </c>
      <c r="D5" s="108" t="str">
        <f>IF(H5=1,"Click here to enter Declaration Scope","")</f>
        <v/>
      </c>
      <c r="E5" s="84" t="s">
        <v>1330</v>
      </c>
      <c r="F5" s="106">
        <v>1</v>
      </c>
      <c r="G5" s="81">
        <f>IF(B5=0,1,0)</f>
        <v>0</v>
      </c>
      <c r="H5" s="82">
        <f t="shared" ref="H5" si="2">F5*G5</f>
        <v>0</v>
      </c>
      <c r="I5" s="179" t="str">
        <f ca="1">OFFSET(L!$C$1,MATCH("Checker"&amp;"Comp",L!$A:$A,0)-1,SL,,)</f>
        <v>Vollständig</v>
      </c>
      <c r="J5" s="180" t="str">
        <f ca="1">OFFSET(L!$C$1,MATCH("Checker"&amp;ADDRESS(ROW(),COLUMN(),4),L!$A:$A,0)-1,SL,,)</f>
        <v>Wählen Sie den Umfang der Erklärung in der Reiterzelle D9 der Erklärung aus</v>
      </c>
    </row>
    <row r="6" spans="1:10" ht="38.25">
      <c r="A6" s="103" t="str">
        <f ca="1">Declaration!B10</f>
        <v>Beschreibung des Geltungsbereichs (*):</v>
      </c>
      <c r="B6" s="102" t="str">
        <f>Declaration!D10</f>
        <v>Elektronikfertigung  Electronic Manufacturing Services (EMS)</v>
      </c>
      <c r="C6" s="102" t="str">
        <f ca="1">IF(H6=1,J6,I6)</f>
        <v>Vollständig</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Vollständig</v>
      </c>
      <c r="J6" s="22" t="str">
        <f ca="1">OFFSET(L!$C$1,MATCH("Checker"&amp;ADDRESS(ROW(),COLUMN(),4),L!$A:$A,0)-1,SL,,)</f>
        <v>Geben Sie eine Beschreibung des Umfangs in der Reiterzelle D10 der Erklärung an</v>
      </c>
    </row>
    <row r="7" spans="1:10" ht="38.25">
      <c r="A7" s="103" t="str">
        <f ca="1">Declaration!B15</f>
        <v>Name des Ansprechpartners (*):</v>
      </c>
      <c r="B7" s="102" t="str">
        <f>Declaration!D15</f>
        <v>Rolf Weyermann</v>
      </c>
      <c r="C7" s="102" t="str">
        <f ca="1">IF(H7=1,J7,I7)</f>
        <v>Vollständig</v>
      </c>
      <c r="D7" s="108" t="str">
        <f>IF(H7=1,"Click here to enter Contact Name","")</f>
        <v/>
      </c>
      <c r="E7" s="84" t="s">
        <v>1330</v>
      </c>
      <c r="F7" s="149">
        <v>1</v>
      </c>
      <c r="G7" s="81">
        <f>IF(B7=0,1,0)</f>
        <v>0</v>
      </c>
      <c r="H7" s="82">
        <f t="shared" si="3"/>
        <v>0</v>
      </c>
      <c r="I7" s="179" t="str">
        <f ca="1">OFFSET(L!$C$1,MATCH("Checker"&amp;"Comp",L!$A:$A,0)-1,SL,,)</f>
        <v>Vollständig</v>
      </c>
      <c r="J7" s="22" t="str">
        <f ca="1">OFFSET(L!$C$1,MATCH("Checker"&amp;ADDRESS(ROW(),COLUMN(),4),L!$A:$A,0)-1,SL,,)</f>
        <v>Geben Sie einen Kontaktnamen in der Reiterzelle D15 der Erklärung an</v>
      </c>
    </row>
    <row r="8" spans="1:10" ht="38.25">
      <c r="A8" s="103" t="str">
        <f ca="1">Declaration!B16</f>
        <v>E-Mail-Adresse des Ansprechpartners (*):</v>
      </c>
      <c r="B8" s="102" t="str">
        <f>Declaration!D16</f>
        <v>rolf.weyermann@placetec.ch</v>
      </c>
      <c r="C8" s="102" t="str">
        <f ca="1">IF(H8=1,J8,I8)</f>
        <v>Vollständig</v>
      </c>
      <c r="D8" s="108" t="str">
        <f>IF(H8=1,"Click here to enter Email-Contact","")</f>
        <v/>
      </c>
      <c r="E8" s="84" t="s">
        <v>1330</v>
      </c>
      <c r="F8" s="149">
        <v>1</v>
      </c>
      <c r="G8" s="81">
        <f>IF(ISNUMBER(SEARCH("@",B8)),0,1)</f>
        <v>0</v>
      </c>
      <c r="H8" s="82">
        <f t="shared" si="3"/>
        <v>0</v>
      </c>
      <c r="I8" s="179" t="str">
        <f ca="1">OFFSET(L!$C$1,MATCH("Checker"&amp;"Comp",L!$A:$A,0)-1,SL,,)</f>
        <v>Vollständig</v>
      </c>
      <c r="J8" s="22" t="str">
        <f ca="1">OFFSET(L!$C$1,MATCH("Checker"&amp;ADDRESS(ROW(),COLUMN(),4),L!$A:$A,0)-1,SL,,)</f>
        <v>Geben Sie eine gültige Kontakt-E-Mail-Adresse in der Reiterzelle D16 der Erklärung an</v>
      </c>
    </row>
    <row r="9" spans="1:10" ht="38.25">
      <c r="A9" s="103" t="str">
        <f ca="1">Declaration!B17</f>
        <v>Telefonnummer des Ansprechpartners (*):</v>
      </c>
      <c r="B9" s="102" t="str">
        <f>Declaration!D17</f>
        <v>++41 61 973 08 80</v>
      </c>
      <c r="C9" s="102" t="str">
        <f ca="1">IF(H9=1,J9,I9)</f>
        <v>Vollständig</v>
      </c>
      <c r="D9" s="108" t="str">
        <f>IF(H9=1,"Click here to enter Phone-Contact","")</f>
        <v/>
      </c>
      <c r="E9" s="84" t="s">
        <v>1330</v>
      </c>
      <c r="F9" s="149">
        <v>1</v>
      </c>
      <c r="G9" s="81">
        <f>IF(B9=0,1,0)</f>
        <v>0</v>
      </c>
      <c r="H9" s="82">
        <f t="shared" si="3"/>
        <v>0</v>
      </c>
      <c r="I9" s="179" t="str">
        <f ca="1">OFFSET(L!$C$1,MATCH("Checker"&amp;"Comp",L!$A:$A,0)-1,SL,,)</f>
        <v>Vollständig</v>
      </c>
      <c r="J9" s="22" t="str">
        <f ca="1">OFFSET(L!$C$1,MATCH("Checker"&amp;ADDRESS(ROW(),COLUMN(),4),L!$A:$A,0)-1,SL,,)</f>
        <v>Geben Sie eine Kontakttelefonnummer in der Reiterzelle D17 der Erklärung an</v>
      </c>
    </row>
    <row r="10" spans="1:10" ht="38.25">
      <c r="A10" s="103" t="str">
        <f ca="1">Declaration!B18</f>
        <v>Bevollmächtigter (*):</v>
      </c>
      <c r="B10" s="102" t="str">
        <f>Declaration!D18</f>
        <v>Rolf Weyermann</v>
      </c>
      <c r="C10" s="102" t="str">
        <f t="shared" ref="C10" ca="1" si="4">IF(H10=1,J10,I10)</f>
        <v>Vollständig</v>
      </c>
      <c r="D10" s="108" t="str">
        <f>IF(H10=1,"Click here to enter an Authorized Company Representative's name","")</f>
        <v/>
      </c>
      <c r="E10" s="84" t="s">
        <v>1330</v>
      </c>
      <c r="F10" s="106">
        <v>1</v>
      </c>
      <c r="G10" s="81">
        <f t="shared" ref="G10" si="5">IF(B10=0,1,0)</f>
        <v>0</v>
      </c>
      <c r="H10" s="82">
        <f t="shared" si="3"/>
        <v>0</v>
      </c>
      <c r="I10" s="179" t="str">
        <f ca="1">OFFSET(L!$C$1,MATCH("Checker"&amp;"Comp",L!$A:$A,0)-1,SL,,)</f>
        <v>Vollständig</v>
      </c>
      <c r="J10" s="22" t="str">
        <f ca="1">OFFSET(L!$C$1,MATCH("Checker"&amp;ADDRESS(ROW(),COLUMN(),4),L!$A:$A,0)-1,SL,,)</f>
        <v>Geben Sie den Kontaktnamen eines bevollmächtigten Unternehmensvertreters in der Reiterzelle D18 der Erklärung an</v>
      </c>
    </row>
    <row r="11" spans="1:10" ht="38.25">
      <c r="A11" s="103" t="str">
        <f ca="1">Declaration!B20</f>
        <v>E-Mail-Adresse des Bevollmächtigten (*):</v>
      </c>
      <c r="B11" s="102" t="str">
        <f>Declaration!D20</f>
        <v>rolf.weyermann@placetec.ch</v>
      </c>
      <c r="C11" s="102" t="str">
        <f ca="1">IF(H11=1,J11,I11)</f>
        <v>Vollständig</v>
      </c>
      <c r="D11" s="108" t="str">
        <f>IF(H11=1,"Click here to enter Representative's email","")</f>
        <v/>
      </c>
      <c r="E11" s="84" t="s">
        <v>1330</v>
      </c>
      <c r="F11" s="106">
        <v>1</v>
      </c>
      <c r="G11" s="81">
        <f>IF(ISNUMBER(SEARCH("@",B11)),0,1)</f>
        <v>0</v>
      </c>
      <c r="H11" s="82">
        <f t="shared" si="3"/>
        <v>0</v>
      </c>
      <c r="I11" s="179"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8.25">
      <c r="A12" s="103" t="str">
        <f ca="1">Declaration!B22</f>
        <v>Datum (*):</v>
      </c>
      <c r="B12" s="104">
        <f>Declaration!D22</f>
        <v>44158</v>
      </c>
      <c r="C12" s="102" t="str">
        <f ca="1">IF(H12=1,J12,I12)</f>
        <v>Vollständig</v>
      </c>
      <c r="D12" s="108" t="str">
        <f>IF(H12=1,"Click here to enter Date of Completion","")</f>
        <v/>
      </c>
      <c r="E12" s="84" t="s">
        <v>1330</v>
      </c>
      <c r="F12" s="106">
        <v>1</v>
      </c>
      <c r="G12" s="81">
        <f>IF(B12=0,1,0)</f>
        <v>0</v>
      </c>
      <c r="H12" s="82">
        <f t="shared" si="3"/>
        <v>0</v>
      </c>
      <c r="I12" s="179" t="str">
        <f ca="1">OFFSET(L!$C$1,MATCH("Checker"&amp;"Comp",L!$A:$A,0)-1,SL,,)</f>
        <v>Vollständig</v>
      </c>
      <c r="J12" s="22" t="str">
        <f ca="1">OFFSET(L!$C$1,MATCH("Checker"&amp;ADDRESS(ROW(),COLUMN(),4),L!$A:$A,0)-1,SL,,)</f>
        <v>Geben Sie das Datum der Vervollständigung des Formulars in der Reiterzelle D22 der Erklärung an</v>
      </c>
    </row>
    <row r="13" spans="1:10" ht="61.9">
      <c r="A13" s="102" t="str">
        <f ca="1">Declaration!B25</f>
        <v>1) Wird absichtlich ein 3TG-Mineral im Herstellungsprozess verwendet oder in das/die Produkt(e) aufgenommen? (*)</v>
      </c>
      <c r="B13" s="105"/>
      <c r="C13" s="105"/>
      <c r="D13" s="109"/>
      <c r="E13" s="84" t="s">
        <v>831</v>
      </c>
      <c r="F13" s="106"/>
      <c r="G13" s="24"/>
      <c r="H13" s="83">
        <f t="shared" si="3"/>
        <v>0</v>
      </c>
    </row>
    <row r="14" spans="1:10" ht="25.9">
      <c r="A14" s="103" t="str">
        <f ca="1">Declaration!B26</f>
        <v>Tantal  (*)</v>
      </c>
      <c r="B14" s="102" t="str">
        <f>Declaration!D26</f>
        <v>Yes</v>
      </c>
      <c r="C14" s="102" t="str">
        <f ca="1">IF(H14=1,J14,I14)</f>
        <v>Vollständig</v>
      </c>
      <c r="D14" s="108" t="str">
        <f>IF(H14=1,"Click here to answer question 1 for Tantalum","")</f>
        <v/>
      </c>
      <c r="E14" s="84" t="s">
        <v>827</v>
      </c>
      <c r="F14" s="106">
        <v>1</v>
      </c>
      <c r="G14" s="81">
        <f>IF(B14=0,1,0)</f>
        <v>0</v>
      </c>
      <c r="H14" s="82">
        <f t="shared" si="3"/>
        <v>0</v>
      </c>
      <c r="I14" s="179" t="str">
        <f ca="1">OFFSET(L!$C$1,MATCH("Checker"&amp;"Comp",L!$A:$A,0)-1,SL,,)</f>
        <v>Vollständig</v>
      </c>
      <c r="J14" s="180" t="str">
        <f ca="1">OFFSET(L!$C$1,MATCH("Checker"&amp;ADDRESS(ROW(),COLUMN(),4),L!$A:$A,0)-1,SL,,)</f>
        <v>Erklären Sie in der Reiterzelle D26 der Erklärung, ob Tantalum Ihren Produkten absichtlich hinzugefügt wird</v>
      </c>
    </row>
    <row r="15" spans="1:10" ht="38.25">
      <c r="A15" s="103" t="str">
        <f ca="1">Declaration!B27</f>
        <v>Zinn  (*)</v>
      </c>
      <c r="B15" s="102" t="str">
        <f>Declaration!D27</f>
        <v>Yes</v>
      </c>
      <c r="C15" s="102" t="str">
        <f ca="1">IF(H15=1,J15,I15)</f>
        <v>Vollständig</v>
      </c>
      <c r="D15" s="108" t="str">
        <f>IF(H15=1,"Click here to answer question 1 for Tin","")</f>
        <v/>
      </c>
      <c r="E15" s="84" t="s">
        <v>828</v>
      </c>
      <c r="F15" s="106">
        <v>1</v>
      </c>
      <c r="G15" s="81">
        <f>IF(B15=0,1,0)</f>
        <v>0</v>
      </c>
      <c r="H15" s="82">
        <f t="shared" si="3"/>
        <v>0</v>
      </c>
      <c r="I15" s="179" t="str">
        <f ca="1">OFFSET(L!$C$1,MATCH("Checker"&amp;"Comp",L!$A:$A,0)-1,SL,,)</f>
        <v>Vollständig</v>
      </c>
      <c r="J15" s="180" t="str">
        <f ca="1">OFFSET(L!$C$1,MATCH("Checker"&amp;ADDRESS(ROW(),COLUMN(),4),L!$A:$A,0)-1,SL,,)</f>
        <v>Erklären Sie in der Reiterzelle D27 der Erklärung, ob Zinn Ihren Produkten absichtlich hinzugefügt wird</v>
      </c>
    </row>
    <row r="16" spans="1:10" ht="38.25">
      <c r="A16" s="103" t="str">
        <f ca="1">Declaration!B28</f>
        <v>Gold  (*)</v>
      </c>
      <c r="B16" s="102" t="str">
        <f>Declaration!D28</f>
        <v>Yes</v>
      </c>
      <c r="C16" s="102" t="str">
        <f ca="1">IF(H16=1,J16,I16)</f>
        <v>Vollständig</v>
      </c>
      <c r="D16" s="108" t="str">
        <f>IF(H16=1,"Click here to answer question 1 for Gold","")</f>
        <v/>
      </c>
      <c r="E16" s="84" t="s">
        <v>828</v>
      </c>
      <c r="F16" s="106">
        <v>1</v>
      </c>
      <c r="G16" s="81">
        <f>IF(B16=0,1,0)</f>
        <v>0</v>
      </c>
      <c r="H16" s="82">
        <f t="shared" si="3"/>
        <v>0</v>
      </c>
      <c r="I16" s="179" t="str">
        <f ca="1">OFFSET(L!$C$1,MATCH("Checker"&amp;"Comp",L!$A:$A,0)-1,SL,,)</f>
        <v>Vollständig</v>
      </c>
      <c r="J16" s="180" t="str">
        <f ca="1">OFFSET(L!$C$1,MATCH("Checker"&amp;ADDRESS(ROW(),COLUMN(),4),L!$A:$A,0)-1,SL,,)</f>
        <v>Erklären Sie in der Reiterzelle D28 der Erklärung, ob Gold Ihren Produkten absichtlich hinzugefügt wird</v>
      </c>
    </row>
    <row r="17" spans="1:10" ht="38.25">
      <c r="A17" s="103" t="str">
        <f ca="1">Declaration!B29</f>
        <v>Wolfram  (*)</v>
      </c>
      <c r="B17" s="102" t="str">
        <f>Declaration!D29</f>
        <v>Yes</v>
      </c>
      <c r="C17" s="102" t="str">
        <f ca="1">IF(H17=1,J17,I17)</f>
        <v>Vollständig</v>
      </c>
      <c r="D17" s="108" t="str">
        <f>IF(H17=1,"Click here to answer question 1 for Tungsten","")</f>
        <v/>
      </c>
      <c r="E17" s="84" t="s">
        <v>828</v>
      </c>
      <c r="F17" s="106">
        <v>1</v>
      </c>
      <c r="G17" s="81">
        <f>IF(B17=0,1,0)</f>
        <v>0</v>
      </c>
      <c r="H17" s="82">
        <f t="shared" si="3"/>
        <v>0</v>
      </c>
      <c r="I17" s="179" t="str">
        <f ca="1">OFFSET(L!$C$1,MATCH("Checker"&amp;"Comp",L!$A:$A,0)-1,SL,,)</f>
        <v>Vollständig</v>
      </c>
      <c r="J17" s="180" t="str">
        <f ca="1">OFFSET(L!$C$1,MATCH("Checker"&amp;ADDRESS(ROW(),COLUMN(),4),L!$A:$A,0)-1,SL,,)</f>
        <v>Erklären Sie in der Reiterzelle D29 der Erklärung, ob Tungsten Ihren Produkten absichtlich hinzugefügt wird</v>
      </c>
    </row>
    <row r="18" spans="1:10" ht="49.5">
      <c r="A18" s="102" t="str">
        <f ca="1">Declaration!B31</f>
        <v xml:space="preserve">2) Liegen in dem/den Produkt(en) 3TG-Rückstände vor? </v>
      </c>
      <c r="B18" s="105"/>
      <c r="C18" s="105"/>
      <c r="D18" s="109"/>
      <c r="E18" s="84" t="s">
        <v>829</v>
      </c>
      <c r="F18" s="106"/>
      <c r="G18" s="24"/>
      <c r="H18" s="24"/>
      <c r="J18" s="180"/>
    </row>
    <row r="19" spans="1:10" ht="38.25">
      <c r="A19" s="103" t="str">
        <f ca="1">Declaration!B32</f>
        <v>Tantal  (*)</v>
      </c>
      <c r="B19" s="102" t="str">
        <f>IF($B$14="Yes",Declaration!D32,0)</f>
        <v>No</v>
      </c>
      <c r="C19" s="102" t="str">
        <f ca="1">IF(H19=1,J19,I19)</f>
        <v>Vollständig</v>
      </c>
      <c r="D19" s="110" t="str">
        <f>IF(H19=1,"Click here to answer question 2 for Tantalum","")</f>
        <v/>
      </c>
      <c r="E19" s="84" t="s">
        <v>828</v>
      </c>
      <c r="F19" s="107">
        <f>IF(B$14="No",0,1)</f>
        <v>1</v>
      </c>
      <c r="G19" s="81">
        <f>IF(B19=0,1,0)</f>
        <v>0</v>
      </c>
      <c r="H19" s="82">
        <f>F19*G19</f>
        <v>0</v>
      </c>
      <c r="I19" s="179" t="str">
        <f ca="1">OFFSET(L!$C$1,MATCH("Checker"&amp;"Comp",L!$A:$A,0)-1,SL,,)</f>
        <v>Vollständig</v>
      </c>
      <c r="J19" s="180" t="str">
        <f ca="1">OFFSET(L!$C$1,MATCH("Checker"&amp;ADDRESS(ROW(),COLUMN(),4),L!$A:$A,0)-1,SL,,)</f>
        <v>Erklären Sie in der Reiterzelle D32 der Erklärung, ob Tantalum für die Herstellung Ihrer Produkte erforderlich ist und ob es in den angegebenen Endprodukten enthalten ist</v>
      </c>
    </row>
    <row r="20" spans="1:10" ht="38.25">
      <c r="A20" s="103" t="str">
        <f ca="1">Declaration!B33</f>
        <v>Zinn  (*)</v>
      </c>
      <c r="B20" s="102" t="str">
        <f>IF($B$15="Yes",Declaration!D33,0)</f>
        <v>No</v>
      </c>
      <c r="C20" s="102" t="str">
        <f ca="1">IF(H20=1,J20,I20)</f>
        <v>Vollständig</v>
      </c>
      <c r="D20" s="110" t="str">
        <f>IF(H20=1,"Click here to answer question 2 for Tin","")</f>
        <v/>
      </c>
      <c r="E20" s="84" t="s">
        <v>828</v>
      </c>
      <c r="F20" s="107">
        <f>IF(B$15="No",0,1)</f>
        <v>1</v>
      </c>
      <c r="G20" s="81">
        <f>IF(B20=0,1,0)</f>
        <v>0</v>
      </c>
      <c r="H20" s="82">
        <f>F20*G20</f>
        <v>0</v>
      </c>
      <c r="I20" s="179" t="str">
        <f ca="1">OFFSET(L!$C$1,MATCH("Checker"&amp;"Comp",L!$A:$A,0)-1,SL,,)</f>
        <v>Vollständig</v>
      </c>
      <c r="J20" s="180" t="str">
        <f ca="1">OFFSET(L!$C$1,MATCH("Checker"&amp;ADDRESS(ROW(),COLUMN(),4),L!$A:$A,0)-1,SL,,)</f>
        <v>Erklären Sie in der Reiterzelle D33 der Erklärung, ob Zinn für die Herstellung Ihrer Produkte erforderlich ist und ob es in den angegebenen Endprodukten enthalten ist</v>
      </c>
    </row>
    <row r="21" spans="1:10" ht="38.25">
      <c r="A21" s="103" t="str">
        <f ca="1">Declaration!B34</f>
        <v>Gold  (*)</v>
      </c>
      <c r="B21" s="102" t="str">
        <f>IF($B$16="Yes",Declaration!D34,0)</f>
        <v>No</v>
      </c>
      <c r="C21" s="102" t="str">
        <f ca="1">IF(H21=1,J21,I21)</f>
        <v>Vollständig</v>
      </c>
      <c r="D21" s="110" t="str">
        <f>IF(H21=1,"Click here to answer question 2 for Gold","")</f>
        <v/>
      </c>
      <c r="E21" s="84" t="s">
        <v>828</v>
      </c>
      <c r="F21" s="107">
        <f>IF(B$16="No",0,1)</f>
        <v>1</v>
      </c>
      <c r="G21" s="81">
        <f>IF(B21=0,1,0)</f>
        <v>0</v>
      </c>
      <c r="H21" s="82">
        <f>F21*G21</f>
        <v>0</v>
      </c>
      <c r="I21" s="179" t="str">
        <f ca="1">OFFSET(L!$C$1,MATCH("Checker"&amp;"Comp",L!$A:$A,0)-1,SL,,)</f>
        <v>Vollständig</v>
      </c>
      <c r="J21" s="180" t="str">
        <f ca="1">OFFSET(L!$C$1,MATCH("Checker"&amp;ADDRESS(ROW(),COLUMN(),4),L!$A:$A,0)-1,SL,,)</f>
        <v>Erklären Sie in der Reiterzelle D34 der Erklärung, ob Gold für die Herstellung Ihrer Produkte erforderlich ist und ob es in den angegebenen Endprodukten enthalten ist</v>
      </c>
    </row>
    <row r="22" spans="1:10" ht="38.25">
      <c r="A22" s="103" t="str">
        <f ca="1">Declaration!B35</f>
        <v>Wolfram  (*)</v>
      </c>
      <c r="B22" s="102" t="str">
        <f>IF($B$17="Yes",Declaration!D35,0)</f>
        <v>No</v>
      </c>
      <c r="C22" s="102" t="str">
        <f ca="1">IF(H22=1,J22,I22)</f>
        <v>Vollständig</v>
      </c>
      <c r="D22" s="110" t="str">
        <f>IF(H22=1,"Click here to answer question 2 for Tungsten","")</f>
        <v/>
      </c>
      <c r="E22" s="84" t="s">
        <v>828</v>
      </c>
      <c r="F22" s="107">
        <f>IF(B$17="No",0,1)</f>
        <v>1</v>
      </c>
      <c r="G22" s="81">
        <f>IF(B22=0,1,0)</f>
        <v>0</v>
      </c>
      <c r="H22" s="82">
        <f>F22*G22</f>
        <v>0</v>
      </c>
      <c r="I22" s="179" t="str">
        <f ca="1">OFFSET(L!$C$1,MATCH("Checker"&amp;"Comp",L!$A:$A,0)-1,SL,,)</f>
        <v>Vollständig</v>
      </c>
      <c r="J22" s="180"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102" t="str">
        <f ca="1">Declaration!B37</f>
        <v>3) Beschaffen Schmelzöfen in Ihrer Lieferkette das 3TG-Mineral aus den umfassten Ländern? (SEC-Begriff, siehe Definitions-Tab)</v>
      </c>
      <c r="B23" s="105"/>
      <c r="C23" s="105"/>
      <c r="D23" s="109"/>
      <c r="E23" s="84" t="s">
        <v>828</v>
      </c>
      <c r="F23" s="106"/>
      <c r="G23" s="24"/>
      <c r="H23" s="24"/>
      <c r="J23" s="180"/>
    </row>
    <row r="24" spans="1:10" ht="38.25">
      <c r="A24" s="103" t="str">
        <f ca="1">Declaration!B38</f>
        <v xml:space="preserve">Tantal  </v>
      </c>
      <c r="B24" s="102">
        <f>IF(AND($B$14="Yes",$B$19="Yes"),Declaration!D38,0)</f>
        <v>0</v>
      </c>
      <c r="C24" s="102" t="str">
        <f ca="1">IF(H24=1,J24,I24)</f>
        <v>Vollständig</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8.25">
      <c r="A25" s="103" t="str">
        <f ca="1">Declaration!B39</f>
        <v xml:space="preserve">Zinn  </v>
      </c>
      <c r="B25" s="102">
        <f>IF(AND($B$15="Yes",$B$20="Yes"),Declaration!D39,0)</f>
        <v>0</v>
      </c>
      <c r="C25" s="102" t="str">
        <f ca="1">IF(H25=1,J25,I25)</f>
        <v>Vollständig</v>
      </c>
      <c r="D25" s="110" t="str">
        <f>IF(H25=1,"Click here to answer question 3 for Tin","")</f>
        <v/>
      </c>
      <c r="E25" s="84" t="s">
        <v>828</v>
      </c>
      <c r="F25" s="107">
        <f>IF(OR(B15="No",B20="No"),0,1)</f>
        <v>0</v>
      </c>
      <c r="G25" s="81">
        <f>IF(B25=0,1,0)</f>
        <v>1</v>
      </c>
      <c r="H25" s="82">
        <f>F25*G25</f>
        <v>0</v>
      </c>
      <c r="I25" s="179"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8.25">
      <c r="A26" s="103" t="str">
        <f ca="1">Declaration!B40</f>
        <v xml:space="preserve">Gold  </v>
      </c>
      <c r="B26" s="102">
        <f>IF(AND($B$16="Yes",$B$21="Yes"),Declaration!D40,0)</f>
        <v>0</v>
      </c>
      <c r="C26" s="102" t="str">
        <f ca="1">IF(H26=1,J26,I26)</f>
        <v>Vollständig</v>
      </c>
      <c r="D26" s="110" t="str">
        <f>IF(H26=1,"Click here to answer question 3 for Gold","")</f>
        <v/>
      </c>
      <c r="E26" s="84" t="s">
        <v>828</v>
      </c>
      <c r="F26" s="107">
        <f>IF(OR(B16="No",B21="No"),0,1)</f>
        <v>0</v>
      </c>
      <c r="G26" s="81">
        <f>IF(B26=0,1,0)</f>
        <v>1</v>
      </c>
      <c r="H26" s="82">
        <f>F26*G26</f>
        <v>0</v>
      </c>
      <c r="I26" s="179"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8.25">
      <c r="A27" s="103" t="str">
        <f ca="1">Declaration!B41</f>
        <v xml:space="preserve">Wolfram  </v>
      </c>
      <c r="B27" s="102">
        <f>IF(AND($B$17="Yes",$B$22="Yes"),Declaration!D41,0)</f>
        <v>0</v>
      </c>
      <c r="C27" s="102" t="str">
        <f ca="1">IF(H27=1,J27,I27)</f>
        <v>Vollständig</v>
      </c>
      <c r="D27" s="110" t="str">
        <f>IF(H27=1,"Click here to answer question 3 for Tungsten","")</f>
        <v/>
      </c>
      <c r="E27" s="84" t="s">
        <v>828</v>
      </c>
      <c r="F27" s="107">
        <f>IF(OR(B17="No",B22="No"),0,1)</f>
        <v>0</v>
      </c>
      <c r="G27" s="81">
        <f>IF(B27=0,1,0)</f>
        <v>1</v>
      </c>
      <c r="H27" s="82">
        <f>F27*G27</f>
        <v>0</v>
      </c>
      <c r="I27" s="179"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700000000000003" customHeight="1">
      <c r="A28" s="102" t="str">
        <f ca="1">Declaration!B43</f>
        <v>4) Beziehen Schmelzereien in Ihrer Lieferkette ihre 3TG aus von Konflikten betroffenen und risikoreichen Gebieten?</v>
      </c>
      <c r="B28" s="102"/>
      <c r="C28" s="102"/>
      <c r="D28" s="110"/>
      <c r="E28" s="84"/>
      <c r="F28" s="84"/>
      <c r="G28" s="84"/>
      <c r="H28" s="24"/>
      <c r="I28" s="179"/>
    </row>
    <row r="29" spans="1:10" ht="41.2" customHeight="1">
      <c r="A29" s="103" t="str">
        <f ca="1">Declaration!B44</f>
        <v xml:space="preserve">Tantal  </v>
      </c>
      <c r="B29" s="102">
        <f>IF(AND($B$14="Yes",$B$19="Yes"),Declaration!D44,0)</f>
        <v>0</v>
      </c>
      <c r="C29" s="102" t="str">
        <f ca="1">IF(H29=1,J29,I29)</f>
        <v>Vollständig</v>
      </c>
      <c r="D29" s="330" t="str">
        <f>IF(H29=1,"Click here to answer question 4 for Tantalum","")</f>
        <v/>
      </c>
      <c r="E29" s="84"/>
      <c r="F29" s="107">
        <f>F24</f>
        <v>0</v>
      </c>
      <c r="G29" s="81">
        <f t="shared" ref="G29" si="8">IF(B29=0,1,0)</f>
        <v>1</v>
      </c>
      <c r="H29" s="82">
        <f t="shared" ref="H29" si="9">F29*G29</f>
        <v>0</v>
      </c>
      <c r="I29" s="179"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2" customHeight="1">
      <c r="A30" s="103" t="str">
        <f ca="1">Declaration!B45</f>
        <v xml:space="preserve">Zinn  </v>
      </c>
      <c r="B30" s="102">
        <f>IF(AND($B$15="Yes",$B$20="Yes"),Declaration!D45,0)</f>
        <v>0</v>
      </c>
      <c r="C30" s="102" t="str">
        <f ca="1">IF(H30=1,J30,I30)</f>
        <v>Vollständig</v>
      </c>
      <c r="D30" s="330" t="str">
        <f>IF(H30=1,"Click here to answer question 4 for Tin","")</f>
        <v/>
      </c>
      <c r="E30" s="84"/>
      <c r="F30" s="107">
        <f>F25</f>
        <v>0</v>
      </c>
      <c r="G30" s="81">
        <f>IF(B30=0,1,0)</f>
        <v>1</v>
      </c>
      <c r="H30" s="82">
        <f>F30*G30</f>
        <v>0</v>
      </c>
      <c r="I30" s="179"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2" customHeight="1">
      <c r="A31" s="103" t="str">
        <f ca="1">Declaration!B46</f>
        <v xml:space="preserve">Gold  </v>
      </c>
      <c r="B31" s="102">
        <f>IF(AND($B$16="Yes",$B$21="Yes"),Declaration!D46,0)</f>
        <v>0</v>
      </c>
      <c r="C31" s="102" t="str">
        <f ca="1">IF(H31=1,J31,I31)</f>
        <v>Vollständig</v>
      </c>
      <c r="D31" s="330" t="str">
        <f>IF(H31=1,"Click here to answer question 4 for Gold","")</f>
        <v/>
      </c>
      <c r="E31" s="84"/>
      <c r="F31" s="107">
        <f>F26</f>
        <v>0</v>
      </c>
      <c r="G31" s="81">
        <f>IF(B31=0,1,0)</f>
        <v>1</v>
      </c>
      <c r="H31" s="82">
        <f>F31*G31</f>
        <v>0</v>
      </c>
      <c r="I31" s="179"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2" customHeight="1">
      <c r="A32" s="103" t="str">
        <f ca="1">Declaration!B47</f>
        <v xml:space="preserve">Wolfram  </v>
      </c>
      <c r="B32" s="102">
        <f>IF(AND($B$17="Yes",$B$22="Yes"),Declaration!D47,0)</f>
        <v>0</v>
      </c>
      <c r="C32" s="102" t="str">
        <f ca="1">IF(H32=1,J32,I32)</f>
        <v>Vollständig</v>
      </c>
      <c r="D32" s="330" t="str">
        <f>IF(H32=1,"Click here to answer question 4 for Tungsten","")</f>
        <v/>
      </c>
      <c r="E32" s="84"/>
      <c r="F32" s="107">
        <f>F27</f>
        <v>0</v>
      </c>
      <c r="G32" s="81">
        <f>IF(B32=0,1,0)</f>
        <v>1</v>
      </c>
      <c r="H32" s="82">
        <f>F32*G32</f>
        <v>0</v>
      </c>
      <c r="I32" s="179"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15">
      <c r="A33" s="102" t="str">
        <f ca="1">Declaration!B49</f>
        <v xml:space="preserve">5) Stammt das für die Funktionalität oder  Herstellung Ihrer Produkte benötigte 3TG-Mineral zu 100 % aus Recycling- oder Schrottquellen? </v>
      </c>
      <c r="B33" s="105"/>
      <c r="C33" s="105"/>
      <c r="D33" s="109"/>
      <c r="E33" s="84" t="s">
        <v>1330</v>
      </c>
      <c r="F33" s="106"/>
      <c r="G33" s="24"/>
      <c r="H33" s="24"/>
      <c r="J33" s="180"/>
    </row>
    <row r="34" spans="1:10" ht="38.25">
      <c r="A34" s="103" t="str">
        <f ca="1">Declaration!B50</f>
        <v xml:space="preserve">Tantal  </v>
      </c>
      <c r="B34" s="102">
        <f>IF(AND($B$14="Yes",$B$19="Yes"),Declaration!D50,0)</f>
        <v>0</v>
      </c>
      <c r="C34" s="102" t="str">
        <f ca="1">IF(H34=1,J34,I34)</f>
        <v>Vollständig</v>
      </c>
      <c r="D34" s="330" t="str">
        <f>IF(H34=1,"Click here to answer question 5 for Tantalum","")</f>
        <v/>
      </c>
      <c r="E34" s="84" t="s">
        <v>1330</v>
      </c>
      <c r="F34" s="107">
        <f>F24</f>
        <v>0</v>
      </c>
      <c r="G34" s="81">
        <f>IF(B34=0,1,0)</f>
        <v>1</v>
      </c>
      <c r="H34" s="82">
        <f>F34*G34</f>
        <v>0</v>
      </c>
      <c r="I34" s="179" t="str">
        <f ca="1">OFFSET(L!$C$1,MATCH("Checker"&amp;"Comp",L!$A:$A,0)-1,SL,,)</f>
        <v>Vollständig</v>
      </c>
      <c r="J34" s="180" t="str">
        <f ca="1">OFFSET(L!$C$1,MATCH("Checker"&amp;ADDRESS(ROW(),COLUMN(),4),L!$A:$A,0)-1,SL,,)</f>
        <v>Erklären Sie in der Reiterzelle D44 der Erklärung, ob innerhalb des Umfangs der in dieser Umfrage angegebenen Produkte verwendetes Tantalum vollständig aus Recycling oder Schrott stammt</v>
      </c>
    </row>
    <row r="35" spans="1:10" ht="38.25">
      <c r="A35" s="103" t="str">
        <f ca="1">Declaration!B51</f>
        <v xml:space="preserve">Zinn  </v>
      </c>
      <c r="B35" s="102">
        <f>IF(AND($B$15="Yes",$B$20="Yes"),Declaration!D51,0)</f>
        <v>0</v>
      </c>
      <c r="C35" s="102" t="str">
        <f ca="1">IF(H35=1,J35,I35)</f>
        <v>Vollständig</v>
      </c>
      <c r="D35" s="330" t="str">
        <f>IF(H35=1,"Click here to answer question 5 for Tin","")</f>
        <v/>
      </c>
      <c r="E35" s="84" t="s">
        <v>1330</v>
      </c>
      <c r="F35" s="107">
        <f>F25</f>
        <v>0</v>
      </c>
      <c r="G35" s="81">
        <f>IF(B35=0,1,0)</f>
        <v>1</v>
      </c>
      <c r="H35" s="82">
        <f>F35*G35</f>
        <v>0</v>
      </c>
      <c r="I35" s="179" t="str">
        <f ca="1">OFFSET(L!$C$1,MATCH("Checker"&amp;"Comp",L!$A:$A,0)-1,SL,,)</f>
        <v>Vollständig</v>
      </c>
      <c r="J35" s="180" t="str">
        <f ca="1">OFFSET(L!$C$1,MATCH("Checker"&amp;ADDRESS(ROW(),COLUMN(),4),L!$A:$A,0)-1,SL,,)</f>
        <v>Erklären Sie in der Reiterzelle D45 der Erklärung, ob innerhalb des Umfangs der in dieser Umfrage angegebenen Produkte verwendetes Zinn vollständig aus Recycling oder Schrott stammt</v>
      </c>
    </row>
    <row r="36" spans="1:10" ht="38.25">
      <c r="A36" s="103" t="str">
        <f ca="1">Declaration!B52</f>
        <v xml:space="preserve">Gold  </v>
      </c>
      <c r="B36" s="102">
        <f>IF(AND($B$16="Yes",$B$21="Yes"),Declaration!D52,0)</f>
        <v>0</v>
      </c>
      <c r="C36" s="102" t="str">
        <f ca="1">IF(H36=1,J36,I36)</f>
        <v>Vollständig</v>
      </c>
      <c r="D36" s="330" t="str">
        <f>IF(H36=1,"Click here to answer question 5 for Gold","")</f>
        <v/>
      </c>
      <c r="E36" s="84" t="s">
        <v>1330</v>
      </c>
      <c r="F36" s="107">
        <f>F26</f>
        <v>0</v>
      </c>
      <c r="G36" s="81">
        <f>IF(B36=0,1,0)</f>
        <v>1</v>
      </c>
      <c r="H36" s="82">
        <f>F36*G36</f>
        <v>0</v>
      </c>
      <c r="I36" s="179" t="str">
        <f ca="1">OFFSET(L!$C$1,MATCH("Checker"&amp;"Comp",L!$A:$A,0)-1,SL,,)</f>
        <v>Vollständig</v>
      </c>
      <c r="J36" s="180" t="str">
        <f ca="1">OFFSET(L!$C$1,MATCH("Checker"&amp;ADDRESS(ROW(),COLUMN(),4),L!$A:$A,0)-1,SL,,)</f>
        <v>Erklären Sie in der Reiterzelle D46 der Erklärung, ob innerhalb des Umfangs der in dieser Umfrage angegebenen Produkte verwendetes Gold vollständig aus Recycling oder Schrott stammt</v>
      </c>
    </row>
    <row r="37" spans="1:10" ht="38.25">
      <c r="A37" s="103" t="str">
        <f ca="1">Declaration!B53</f>
        <v xml:space="preserve">Wolfram  </v>
      </c>
      <c r="B37" s="102">
        <f>IF(AND($B$17="Yes",$B$22="Yes"),Declaration!D53,0)</f>
        <v>0</v>
      </c>
      <c r="C37" s="102" t="str">
        <f ca="1">IF(H37=1,J37,I37)</f>
        <v>Vollständig</v>
      </c>
      <c r="D37" s="330" t="str">
        <f>IF(H37=1,"Click here to answer question 5 for Tungsten","")</f>
        <v/>
      </c>
      <c r="E37" s="84" t="s">
        <v>1330</v>
      </c>
      <c r="F37" s="107">
        <f>F27</f>
        <v>0</v>
      </c>
      <c r="G37" s="81">
        <f>IF(B37=0,1,0)</f>
        <v>1</v>
      </c>
      <c r="H37" s="82">
        <f>F37*G37</f>
        <v>0</v>
      </c>
      <c r="I37" s="179" t="str">
        <f ca="1">OFFSET(L!$C$1,MATCH("Checker"&amp;"Comp",L!$A:$A,0)-1,SL,,)</f>
        <v>Vollständig</v>
      </c>
      <c r="J37" s="180" t="str">
        <f ca="1">OFFSET(L!$C$1,MATCH("Checker"&amp;ADDRESS(ROW(),COLUMN(),4),L!$A:$A,0)-1,SL,,)</f>
        <v>Erklären Sie in der Reiterzelle D47 der Erklärung, ob innerhalb des Umfangs der in dieser Umfrage angegebenen Produkte verwendetes Tungsten vollständig aus Recycling oder Schrott stammt</v>
      </c>
    </row>
    <row r="38" spans="1:10" ht="37.15">
      <c r="A38" s="102" t="str">
        <f ca="1">Declaration!B55</f>
        <v>6) Wie hoch ist der Prozentsatz an Lieferanten, die auf Ihre Lieferkettenumfrage geantwortet haben?</v>
      </c>
      <c r="B38" s="105"/>
      <c r="C38" s="105"/>
      <c r="D38" s="109"/>
      <c r="E38" s="84" t="s">
        <v>828</v>
      </c>
      <c r="F38" s="106"/>
      <c r="G38" s="24"/>
      <c r="H38" s="24"/>
    </row>
    <row r="39" spans="1:10" ht="25.9">
      <c r="A39" s="103" t="str">
        <f ca="1">Declaration!B56</f>
        <v xml:space="preserve">Tantal  </v>
      </c>
      <c r="B39" s="299">
        <f>IF(AND($B$14="Yes",$B$19="Yes"),Declaration!D56,0)</f>
        <v>0</v>
      </c>
      <c r="C39" s="102" t="str">
        <f ca="1">IF(H39=1,J39,I39)</f>
        <v>Vollständig</v>
      </c>
      <c r="D39" s="331" t="str">
        <f>IF(H39=1,"Click here to answer question 6 for Tantalum","")</f>
        <v/>
      </c>
      <c r="E39" s="84" t="s">
        <v>827</v>
      </c>
      <c r="F39" s="107">
        <f>F24</f>
        <v>0</v>
      </c>
      <c r="G39" s="81">
        <f>IF(B39=0,1,0)</f>
        <v>1</v>
      </c>
      <c r="H39" s="82">
        <f>F39*G39</f>
        <v>0</v>
      </c>
      <c r="I39" s="179" t="str">
        <f ca="1">OFFSET(L!$C$1,MATCH("Checker"&amp;"Comp",L!$A:$A,0)-1,SL,,)</f>
        <v>Vollständig</v>
      </c>
      <c r="J39" s="22" t="str">
        <f ca="1">OFFSET(L!$C$1,MATCH("Checker"&amp;ADDRESS(ROW(),COLUMN(),4),L!$A:$A,0)-1,SL,,)</f>
        <v>Geben Sie den Vollständigkeitsgrad der Schmelzofeninformationen des Anbieters in Prozent in der Reiterzelle D50 der Erklärung an</v>
      </c>
    </row>
    <row r="40" spans="1:10" ht="25.9">
      <c r="A40" s="103" t="str">
        <f ca="1">Declaration!B57</f>
        <v xml:space="preserve">Zinn  </v>
      </c>
      <c r="B40" s="299">
        <f>IF(AND($B$15="Yes",$B$20="Yes"),Declaration!D57,0)</f>
        <v>0</v>
      </c>
      <c r="C40" s="102" t="str">
        <f ca="1">IF(H40=1,J40,I40)</f>
        <v>Vollständig</v>
      </c>
      <c r="D40" s="331" t="str">
        <f>IF(H40=1,"Click here to answer question 6 for Tin","")</f>
        <v/>
      </c>
      <c r="E40" s="84" t="s">
        <v>827</v>
      </c>
      <c r="F40" s="107">
        <f>F25</f>
        <v>0</v>
      </c>
      <c r="G40" s="81">
        <f>IF(B40=0,1,0)</f>
        <v>1</v>
      </c>
      <c r="H40" s="82">
        <f>F40*G40</f>
        <v>0</v>
      </c>
      <c r="I40" s="179" t="str">
        <f ca="1">OFFSET(L!$C$1,MATCH("Checker"&amp;"Comp",L!$A:$A,0)-1,SL,,)</f>
        <v>Vollständig</v>
      </c>
      <c r="J40" s="22" t="str">
        <f ca="1">OFFSET(L!$C$1,MATCH("Checker"&amp;ADDRESS(ROW(),COLUMN(),4),L!$A:$A,0)-1,SL,,)</f>
        <v>Geben Sie den Vollständigkeitsgrad der Schmelzofeninformationen des Anbieters in Prozent in der Reiterzelle D51 der Erklärung an</v>
      </c>
    </row>
    <row r="41" spans="1:10" ht="25.9">
      <c r="A41" s="103" t="str">
        <f ca="1">Declaration!B58</f>
        <v xml:space="preserve">Gold  </v>
      </c>
      <c r="B41" s="299">
        <f>IF(AND($B$16="Yes",$B$21="Yes"),Declaration!D58,0)</f>
        <v>0</v>
      </c>
      <c r="C41" s="102" t="str">
        <f ca="1">IF(H41=1,J41,I41)</f>
        <v>Vollständig</v>
      </c>
      <c r="D41" s="331" t="str">
        <f>IF(H41=1,"Click here to answer question 6 for Gold","")</f>
        <v/>
      </c>
      <c r="E41" s="84" t="s">
        <v>827</v>
      </c>
      <c r="F41" s="107">
        <f>F26</f>
        <v>0</v>
      </c>
      <c r="G41" s="81">
        <f>IF(B41=0,1,0)</f>
        <v>1</v>
      </c>
      <c r="H41" s="82">
        <f>F41*G41</f>
        <v>0</v>
      </c>
      <c r="I41" s="179" t="str">
        <f ca="1">OFFSET(L!$C$1,MATCH("Checker"&amp;"Comp",L!$A:$A,0)-1,SL,,)</f>
        <v>Vollständig</v>
      </c>
      <c r="J41" s="22" t="str">
        <f ca="1">OFFSET(L!$C$1,MATCH("Checker"&amp;ADDRESS(ROW(),COLUMN(),4),L!$A:$A,0)-1,SL,,)</f>
        <v>Geben Sie den Vollständigkeitsgrad der Schmelzofeninformationen des Anbieters in Prozent in der Reiterzelle D52 der Erklärung an</v>
      </c>
    </row>
    <row r="42" spans="1:10" ht="25.9">
      <c r="A42" s="103" t="str">
        <f ca="1">Declaration!B59</f>
        <v xml:space="preserve">Wolfram  </v>
      </c>
      <c r="B42" s="299">
        <f>IF(AND($B$17="Yes",$B$22="Yes"),Declaration!D59,0)</f>
        <v>0</v>
      </c>
      <c r="C42" s="102" t="str">
        <f ca="1">IF(H42=1,J42,I42)</f>
        <v>Vollständig</v>
      </c>
      <c r="D42" s="331" t="str">
        <f>IF(H42=1,"Click here to answer question 6 for Tungsten","")</f>
        <v/>
      </c>
      <c r="E42" s="84" t="s">
        <v>827</v>
      </c>
      <c r="F42" s="107">
        <f>F27</f>
        <v>0</v>
      </c>
      <c r="G42" s="81">
        <f>IF(B42=0,1,0)</f>
        <v>1</v>
      </c>
      <c r="H42" s="82">
        <f>F42*G42</f>
        <v>0</v>
      </c>
      <c r="I42" s="179" t="str">
        <f ca="1">OFFSET(L!$C$1,MATCH("Checker"&amp;"Comp",L!$A:$A,0)-1,SL,,)</f>
        <v>Vollständig</v>
      </c>
      <c r="J42" s="22" t="str">
        <f ca="1">OFFSET(L!$C$1,MATCH("Checker"&amp;ADDRESS(ROW(),COLUMN(),4),L!$A:$A,0)-1,SL,,)</f>
        <v>Geben Sie den Vollständigkeitsgrad der Schmelzofeninformationen des Anbieters in Prozent in der Reiterzelle D53 der Erklärung an</v>
      </c>
    </row>
    <row r="43" spans="1:10" ht="49.5">
      <c r="A43" s="102" t="str">
        <f ca="1">Declaration!B61</f>
        <v xml:space="preserve">7) Haben Sie alle Schmelzhütten ermittelt, die das 3TG-Mineral für Ihre Lieferkette bereitstellen? </v>
      </c>
      <c r="B43" s="105"/>
      <c r="C43" s="105"/>
      <c r="D43" s="109"/>
      <c r="E43" s="84" t="s">
        <v>829</v>
      </c>
      <c r="F43" s="106"/>
      <c r="G43" s="24"/>
      <c r="H43" s="24"/>
    </row>
    <row r="44" spans="1:10" ht="50.65">
      <c r="A44" s="103" t="str">
        <f ca="1">Declaration!B62</f>
        <v xml:space="preserve">Tantal  </v>
      </c>
      <c r="B44" s="102">
        <f>IF(AND($B$14="Yes",$B$19="Yes"),Declaration!D62,0)</f>
        <v>0</v>
      </c>
      <c r="C44" s="102" t="str">
        <f ca="1">IF(H44=1,J44,I44)</f>
        <v>Vollständig</v>
      </c>
      <c r="D44" s="330" t="str">
        <f>IF(H44=1,"Click here to answer question 7 for Tantalum","")</f>
        <v/>
      </c>
      <c r="E44" s="84" t="s">
        <v>1326</v>
      </c>
      <c r="F44" s="107">
        <f>F24</f>
        <v>0</v>
      </c>
      <c r="G44" s="81">
        <f>IF(B44=0,1,0)</f>
        <v>1</v>
      </c>
      <c r="H44" s="82">
        <f>F44*G44</f>
        <v>0</v>
      </c>
      <c r="I44" s="179" t="str">
        <f ca="1">OFFSET(L!$C$1,MATCH("Checker"&amp;"Comp",L!$A:$A,0)-1,SL,,)</f>
        <v>Vollständig</v>
      </c>
      <c r="J44" s="22" t="str">
        <f ca="1">OFFSET(L!$C$1,MATCH("Checker"&amp;ADDRESS(ROW(),COLUMN(),4),L!$A:$A,0)-1,SL,,)</f>
        <v xml:space="preserve">Geben Sie in der Reiterzelle D56 der Erklärung an, ob alle Schmelzofennamen in der Antwort auf diese Umfrage im Umfang der angegebenen Produkte zur Verfügung gestellt worden sind </v>
      </c>
    </row>
    <row r="45" spans="1:10" ht="50.65">
      <c r="A45" s="103" t="str">
        <f ca="1">Declaration!B63</f>
        <v xml:space="preserve">Zinn  </v>
      </c>
      <c r="B45" s="102">
        <f>IF(AND($B$15="Yes",$B$20="Yes"),Declaration!D63,0)</f>
        <v>0</v>
      </c>
      <c r="C45" s="102" t="str">
        <f ca="1">IF(H45=1,J45,I45)</f>
        <v>Vollständig</v>
      </c>
      <c r="D45" s="330" t="str">
        <f>IF(H45=1,"Click here to answer question 7 for Tin","")</f>
        <v/>
      </c>
      <c r="E45" s="84" t="s">
        <v>1326</v>
      </c>
      <c r="F45" s="107">
        <f>F25</f>
        <v>0</v>
      </c>
      <c r="G45" s="81">
        <f>IF(B45=0,1,0)</f>
        <v>1</v>
      </c>
      <c r="H45" s="82">
        <f>F45*G45</f>
        <v>0</v>
      </c>
      <c r="I45" s="179" t="str">
        <f ca="1">OFFSET(L!$C$1,MATCH("Checker"&amp;"Comp",L!$A:$A,0)-1,SL,,)</f>
        <v>Vollständig</v>
      </c>
      <c r="J45" s="22" t="str">
        <f ca="1">OFFSET(L!$C$1,MATCH("Checker"&amp;ADDRESS(ROW(),COLUMN(),4),L!$A:$A,0)-1,SL,,)</f>
        <v xml:space="preserve">Geben Sie in der Reiterzelle D57 der Erklärung an, ob alle Schmelzofennamen in der Antwort auf diese Umfrage im Umfang der angegebenen Produkte zur Verfügung gestellt worden sind </v>
      </c>
    </row>
    <row r="46" spans="1:10" ht="50.65">
      <c r="A46" s="103" t="str">
        <f ca="1">Declaration!B64</f>
        <v xml:space="preserve">Gold  </v>
      </c>
      <c r="B46" s="102">
        <f>IF(AND($B$16="Yes",$B$21="Yes"),Declaration!D64,0)</f>
        <v>0</v>
      </c>
      <c r="C46" s="102" t="str">
        <f ca="1">IF(H46=1,J46,I46)</f>
        <v>Vollständig</v>
      </c>
      <c r="D46" s="330" t="str">
        <f>IF(H46=1,"Click here to answer question 7 for Gold","")</f>
        <v/>
      </c>
      <c r="E46" s="84" t="s">
        <v>1326</v>
      </c>
      <c r="F46" s="107">
        <f>F26</f>
        <v>0</v>
      </c>
      <c r="G46" s="81">
        <f>IF(B46=0,1,0)</f>
        <v>1</v>
      </c>
      <c r="H46" s="82">
        <f>F46*G46</f>
        <v>0</v>
      </c>
      <c r="I46" s="179" t="str">
        <f ca="1">OFFSET(L!$C$1,MATCH("Checker"&amp;"Comp",L!$A:$A,0)-1,SL,,)</f>
        <v>Vollständig</v>
      </c>
      <c r="J46" s="22" t="str">
        <f ca="1">OFFSET(L!$C$1,MATCH("Checker"&amp;ADDRESS(ROW(),COLUMN(),4),L!$A:$A,0)-1,SL,,)</f>
        <v xml:space="preserve">Geben Sie in der Reiterzelle D58 der Erklärung an, ob alle Schmelzofennamen in der Antwort auf diese Umfrage im Umfang der angegebenen Produkte zur Verfügung gestellt worden sind </v>
      </c>
    </row>
    <row r="47" spans="1:10" ht="50.65">
      <c r="A47" s="103" t="str">
        <f ca="1">Declaration!B65</f>
        <v xml:space="preserve">Wolfram  </v>
      </c>
      <c r="B47" s="102">
        <f>IF(AND($B$17="Yes",$B$22="Yes"),Declaration!D65,0)</f>
        <v>0</v>
      </c>
      <c r="C47" s="102" t="str">
        <f ca="1">IF(H47=1,J47,I47)</f>
        <v>Vollständig</v>
      </c>
      <c r="D47" s="330" t="str">
        <f>IF(H47=1,"Click here to answer question 7 for Tungsten","")</f>
        <v/>
      </c>
      <c r="E47" s="84" t="s">
        <v>1326</v>
      </c>
      <c r="F47" s="107">
        <f>F27</f>
        <v>0</v>
      </c>
      <c r="G47" s="81">
        <f>IF(B47=0,1,0)</f>
        <v>1</v>
      </c>
      <c r="H47" s="82">
        <f>F47*G47</f>
        <v>0</v>
      </c>
      <c r="I47" s="179" t="str">
        <f ca="1">OFFSET(L!$C$1,MATCH("Checker"&amp;"Comp",L!$A:$A,0)-1,SL,,)</f>
        <v>Vollständig</v>
      </c>
      <c r="J47" s="22" t="str">
        <f ca="1">OFFSET(L!$C$1,MATCH("Checker"&amp;ADDRESS(ROW(),COLUMN(),4),L!$A:$A,0)-1,SL,,)</f>
        <v xml:space="preserve">Geben Sie in der Reiterzelle D59 der Erklärung an, ob alle Schmelzofennamen in der Antwort auf diese Umfrage im Umfang der angegebenen Produkte zur Verfügung gestellt worden sind </v>
      </c>
    </row>
    <row r="48" spans="1:10" ht="61.9">
      <c r="A48" s="102" t="str">
        <f ca="1">Declaration!B67</f>
        <v xml:space="preserve">8) Haben Sie alle relevanten Informationen, die Ihr Unternehmen zu den Schmelzhütten erhalten hat, in dieser Erklärung aufgeführt? </v>
      </c>
      <c r="B48" s="105"/>
      <c r="C48" s="105"/>
      <c r="D48" s="109"/>
      <c r="E48" s="84" t="s">
        <v>830</v>
      </c>
      <c r="F48" s="106"/>
      <c r="G48" s="24"/>
      <c r="H48" s="24"/>
    </row>
    <row r="49" spans="1:10" ht="38.25">
      <c r="A49" s="103" t="str">
        <f ca="1">Declaration!B68</f>
        <v xml:space="preserve">Tantal  </v>
      </c>
      <c r="B49" s="102">
        <f>IF(AND($B$14="Yes",$B$19="Yes"),Declaration!D68,0)</f>
        <v>0</v>
      </c>
      <c r="C49" s="102" t="str">
        <f ca="1">IF(H49=1,J49,I49)</f>
        <v>Vollständig</v>
      </c>
      <c r="D49" s="331" t="str">
        <f>IF(H49=1,"Click here to answer question 8 for Tantalum","")</f>
        <v/>
      </c>
      <c r="E49" s="84" t="s">
        <v>828</v>
      </c>
      <c r="F49" s="107">
        <f>F24</f>
        <v>0</v>
      </c>
      <c r="G49" s="81">
        <f>IF(B49=0,1,0)</f>
        <v>1</v>
      </c>
      <c r="H49" s="82">
        <f>F49*G49</f>
        <v>0</v>
      </c>
      <c r="I49" s="179" t="str">
        <f ca="1">OFFSET(L!$C$1,MATCH("Checker"&amp;"Comp",L!$A:$A,0)-1,SL,,)</f>
        <v>Vollständig</v>
      </c>
      <c r="J49" s="22" t="str">
        <f ca="1">OFFSET(L!$C$1,MATCH("Checker"&amp;ADDRESS(ROW(),COLUMN(),4),L!$A:$A,0)-1,SL,,)</f>
        <v xml:space="preserve">Geben Sie in der Reiterzelle D62 der Erklärung an, ob alle Informationen über Tantalum-Schmelzöfen zur Verfügung gestellt worden sind </v>
      </c>
    </row>
    <row r="50" spans="1:10" ht="38.25">
      <c r="A50" s="103" t="str">
        <f ca="1">Declaration!B69</f>
        <v xml:space="preserve">Zinn  </v>
      </c>
      <c r="B50" s="102">
        <f>IF(AND($B$15="Yes",$B$20="Yes"),Declaration!D69,0)</f>
        <v>0</v>
      </c>
      <c r="C50" s="102" t="str">
        <f ca="1">IF(H50=1,J50,I50)</f>
        <v>Vollständig</v>
      </c>
      <c r="D50" s="331" t="str">
        <f>IF(H50=1,"Click here to answer question 8 for Tin","")</f>
        <v/>
      </c>
      <c r="E50" s="84" t="s">
        <v>828</v>
      </c>
      <c r="F50" s="107">
        <f>F25</f>
        <v>0</v>
      </c>
      <c r="G50" s="81">
        <f>IF(B50=0,1,0)</f>
        <v>1</v>
      </c>
      <c r="H50" s="82">
        <f>F50*G50</f>
        <v>0</v>
      </c>
      <c r="I50" s="179" t="str">
        <f ca="1">OFFSET(L!$C$1,MATCH("Checker"&amp;"Comp",L!$A:$A,0)-1,SL,,)</f>
        <v>Vollständig</v>
      </c>
      <c r="J50" s="22" t="str">
        <f ca="1">OFFSET(L!$C$1,MATCH("Checker"&amp;ADDRESS(ROW(),COLUMN(),4),L!$A:$A,0)-1,SL,,)</f>
        <v xml:space="preserve">Geben Sie in der Reiterzelle D63 der Erklärung an, ob alle Informationen über Zinn-Schmelzöfen zur Verfügung gestellt worden sind </v>
      </c>
    </row>
    <row r="51" spans="1:10" ht="38.25">
      <c r="A51" s="103" t="str">
        <f ca="1">Declaration!B70</f>
        <v xml:space="preserve">Gold  </v>
      </c>
      <c r="B51" s="102">
        <f>IF(AND($B$16="Yes",$B$21="Yes"),Declaration!D70,0)</f>
        <v>0</v>
      </c>
      <c r="C51" s="102" t="str">
        <f ca="1">IF(H51=1,J51,I51)</f>
        <v>Vollständig</v>
      </c>
      <c r="D51" s="331" t="str">
        <f>IF(H51=1,"Click here to answer question 8 for Gold","")</f>
        <v/>
      </c>
      <c r="E51" s="84" t="s">
        <v>828</v>
      </c>
      <c r="F51" s="107">
        <f>F26</f>
        <v>0</v>
      </c>
      <c r="G51" s="81">
        <f>IF(B51=0,1,0)</f>
        <v>1</v>
      </c>
      <c r="H51" s="82">
        <f>F51*G51</f>
        <v>0</v>
      </c>
      <c r="I51" s="179" t="str">
        <f ca="1">OFFSET(L!$C$1,MATCH("Checker"&amp;"Comp",L!$A:$A,0)-1,SL,,)</f>
        <v>Vollständig</v>
      </c>
      <c r="J51" s="22" t="str">
        <f ca="1">OFFSET(L!$C$1,MATCH("Checker"&amp;ADDRESS(ROW(),COLUMN(),4),L!$A:$A,0)-1,SL,,)</f>
        <v xml:space="preserve">Geben Sie in der Reiterzelle D64 der Erklärung an, ob alle Informationen über Gold-Schmelzöfen zur Verfügung gestellt worden sind </v>
      </c>
    </row>
    <row r="52" spans="1:10" ht="38.25">
      <c r="A52" s="103" t="str">
        <f ca="1">Declaration!B71</f>
        <v xml:space="preserve">Wolfram  </v>
      </c>
      <c r="B52" s="102">
        <f>IF(AND($B$17="Yes",$B$22="Yes"),Declaration!D71,0)</f>
        <v>0</v>
      </c>
      <c r="C52" s="102" t="str">
        <f ca="1">IF(H52=1,J52,I52)</f>
        <v>Vollständig</v>
      </c>
      <c r="D52" s="331" t="str">
        <f>IF(H52=1,"Click here to answer question 8 for Tungsten","")</f>
        <v/>
      </c>
      <c r="E52" s="84" t="s">
        <v>828</v>
      </c>
      <c r="F52" s="107">
        <f>F27</f>
        <v>0</v>
      </c>
      <c r="G52" s="81">
        <f>IF(B52=0,1,0)</f>
        <v>1</v>
      </c>
      <c r="H52" s="82">
        <f>F52*G52</f>
        <v>0</v>
      </c>
      <c r="I52" s="179" t="str">
        <f ca="1">OFFSET(L!$C$1,MATCH("Checker"&amp;"Comp",L!$A:$A,0)-1,SL,,)</f>
        <v>Vollständig</v>
      </c>
      <c r="J52" s="22" t="str">
        <f ca="1">OFFSET(L!$C$1,MATCH("Checker"&amp;ADDRESS(ROW(),COLUMN(),4),L!$A:$A,0)-1,SL,,)</f>
        <v xml:space="preserve">Geben Sie in der Reiterzelle D65 der Erklärung an, ob alle Informationen über Tungsten-Schmelzöfen zur Verfügung gestellt worden sind </v>
      </c>
    </row>
    <row r="53" spans="1:10" ht="24.75">
      <c r="A53" s="102" t="str">
        <f ca="1">Declaration!B74</f>
        <v>Frage</v>
      </c>
      <c r="B53" s="105"/>
      <c r="C53" s="105"/>
      <c r="D53" s="109"/>
      <c r="E53" s="84" t="s">
        <v>451</v>
      </c>
      <c r="F53" s="106"/>
      <c r="G53" s="106"/>
      <c r="H53" s="106"/>
    </row>
    <row r="54" spans="1:10" ht="38.25">
      <c r="A54" s="102" t="str">
        <f ca="1">Declaration!B75</f>
        <v>A. Haben Sie eine konflkitfreie Beschaffungsrichtlinie für Mineralien erstellt?</v>
      </c>
      <c r="B54" s="102" t="str">
        <f>Declaration!D75</f>
        <v>Yes</v>
      </c>
      <c r="C54" s="102" t="str">
        <f t="shared" ref="C54:C60" ca="1" si="10">IF(H54=1,J54,I54)</f>
        <v>Vollständig</v>
      </c>
      <c r="D54" s="108" t="str">
        <f>IF(H54=1,"Click here to answer question (A)","")</f>
        <v/>
      </c>
      <c r="E54" s="84" t="s">
        <v>1330</v>
      </c>
      <c r="F54" s="107">
        <f>IF(SUM(F$24:F$27)=0,0,1)</f>
        <v>0</v>
      </c>
      <c r="G54" s="81">
        <f>IF(B54=0,1,0)</f>
        <v>0</v>
      </c>
      <c r="H54" s="82">
        <f t="shared" ref="H54:H60" si="11">F54*G54</f>
        <v>0</v>
      </c>
      <c r="I54" s="179" t="str">
        <f ca="1">OFFSET(L!$C$1,MATCH("Checker"&amp;"Comp",L!$A:$A,0)-1,SL,,)</f>
        <v>Vollständig</v>
      </c>
      <c r="J54" s="22" t="str">
        <f ca="1">OFFSET(L!$C$1,MATCH("Checker"&amp;ADDRESS(ROW(),COLUMN(),4),L!$A:$A,0)-1,SL,,)</f>
        <v>Geben Sie in Zelle D75 der Erklärung an, ob Ihr Unternehmen Ihre Richtlinie zur konfliktfreien Mineralieneschaffung auf seiner Website öffentlich verfügbar gemacht hat</v>
      </c>
    </row>
    <row r="55" spans="1:10" ht="54.75" customHeight="1">
      <c r="A55" s="102" t="str">
        <f ca="1">Declaration!B77</f>
        <v>B. Ist Ihre konflkitfreie Beschaffungsrichtlinie für Mineralien auf Ihrer Website einsehbar? (Hinweis - Wenn „Ja“, sollte der Benutzer die URL im Anmerkungsfeld angeben.)</v>
      </c>
      <c r="B55" s="102" t="str">
        <f>Declaration!D77</f>
        <v>Yes</v>
      </c>
      <c r="C55" s="102" t="str">
        <f t="shared" ca="1" si="10"/>
        <v>Vollständig</v>
      </c>
      <c r="D55" s="108" t="str">
        <f>IF(H55=1,"Click here to answer question (B)","")</f>
        <v/>
      </c>
      <c r="E55" s="84" t="s">
        <v>1330</v>
      </c>
      <c r="F55" s="107">
        <f t="shared" ref="F55" si="12">F$54</f>
        <v>0</v>
      </c>
      <c r="G55" s="81">
        <f>IF(B55=0,1,0)</f>
        <v>0</v>
      </c>
      <c r="H55" s="82">
        <f t="shared" si="11"/>
        <v>0</v>
      </c>
      <c r="I55" s="179"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549999999999997" customHeight="1">
      <c r="A56" s="102" t="s">
        <v>6</v>
      </c>
      <c r="B56" s="102" t="str">
        <f>Declaration!G77</f>
        <v>https://www.placetec.ch/de/firma/downloads.html</v>
      </c>
      <c r="C56" s="102" t="str">
        <f t="shared" ca="1" si="10"/>
        <v>Vollständig</v>
      </c>
      <c r="D56" s="108" t="str">
        <f>IF(H56=1,"Click here to specify URL for question (B)","")</f>
        <v/>
      </c>
      <c r="E56" s="84"/>
      <c r="F56" s="107">
        <f>IF(AND(F55=1,B55="Yes"),1,0)</f>
        <v>0</v>
      </c>
      <c r="G56" s="81">
        <f>IF(LEN(B56)&gt;1,0,1)</f>
        <v>0</v>
      </c>
      <c r="H56" s="82">
        <f t="shared" si="11"/>
        <v>0</v>
      </c>
      <c r="I56" s="179" t="str">
        <f ca="1">OFFSET(L!$C$1,MATCH("Checker"&amp;"Comp",L!$A:$A,0)-1,SL,,)</f>
        <v>Vollständig</v>
      </c>
      <c r="J56" s="170" t="str">
        <f ca="1">OFFSET(L!$C$1,MATCH("Checker"&amp;ADDRESS(ROW(),COLUMN(),4),L!$A:$A,0)-1,SL,,)</f>
        <v xml:space="preserve">Geben Sie in der Arbeitsblattzelle D77 der Erklärung den URL an, falls Sie Frage B mit „Ja“ beantworten. Das Format des URL sollte „www.companyname.com“ entsprechen </v>
      </c>
    </row>
    <row r="57" spans="1:10" ht="61.9">
      <c r="A57" s="102" t="str">
        <f ca="1">Declaration!B79</f>
        <v>C. Verlangen Sie von Ihren direkten Lieferanten, das 3TG-Mineral ausschließlich von Schmelzhütten zu beziehen, deren Due-Diligence-Praktiken von einer unabhängigen Instanz überprüft wurden?</v>
      </c>
      <c r="B57" s="102" t="str">
        <f>Declaration!D79</f>
        <v>No</v>
      </c>
      <c r="C57" s="102" t="str">
        <f t="shared" ca="1" si="10"/>
        <v>Vollständig</v>
      </c>
      <c r="D57" s="108" t="str">
        <f>IF(H57=1,"Click here to answer question (C)","")</f>
        <v/>
      </c>
      <c r="E57" s="84" t="s">
        <v>1330</v>
      </c>
      <c r="F57" s="107">
        <f>F$54</f>
        <v>0</v>
      </c>
      <c r="G57" s="81">
        <f>IF(B57=0,1,0)</f>
        <v>0</v>
      </c>
      <c r="H57" s="82">
        <f t="shared" si="11"/>
        <v>0</v>
      </c>
      <c r="I57" s="179" t="str">
        <f ca="1">OFFSET(L!$C$1,MATCH("Checker"&amp;"Comp",L!$A:$A,0)-1,SL,,)</f>
        <v>Vollständig</v>
      </c>
      <c r="J57" s="22" t="str">
        <f ca="1">OFFSET(L!$C$1,MATCH("Checker"&amp;ADDRESS(ROW(),COLUMN(),4),L!$A:$A,0)-1,SL,,)</f>
        <v>Geben Sie in Zelle D79 der Erklärung an, ob Sie von Ihren direkten Lieferanten verlangen, bei Schmelzereien einzukaufen, deren Due-Diligence-Praktiken von unabhängigen Prüfungsprogramm Dritter überprüft worden sind</v>
      </c>
    </row>
    <row r="58" spans="1:10" ht="38.25">
      <c r="A58" s="102" t="str">
        <f ca="1">Declaration!B81</f>
        <v>D. Haben Sie Sorgfaltspflichtmaßnahmen für die konfliktfreie Beschaffung in Kraft gesetzt?</v>
      </c>
      <c r="B58" s="102" t="str">
        <f>Declaration!D81</f>
        <v>Yes</v>
      </c>
      <c r="C58" s="102" t="str">
        <f t="shared" ca="1" si="10"/>
        <v>Vollständig</v>
      </c>
      <c r="D58" s="108" t="str">
        <f>IF(H58=1,"Click here to answer question (D)","")</f>
        <v/>
      </c>
      <c r="E58" s="84" t="s">
        <v>1330</v>
      </c>
      <c r="F58" s="107">
        <f>F$54</f>
        <v>0</v>
      </c>
      <c r="G58" s="81">
        <f>IF(B58=0,1,0)</f>
        <v>0</v>
      </c>
      <c r="H58" s="82">
        <f t="shared" si="11"/>
        <v>0</v>
      </c>
      <c r="I58" s="179" t="str">
        <f ca="1">OFFSET(L!$C$1,MATCH("Checker"&amp;"Comp",L!$A:$A,0)-1,SL,,)</f>
        <v>Vollständig</v>
      </c>
      <c r="J58" s="22" t="str">
        <f ca="1">OFFSET(L!$C$1,MATCH("Checker"&amp;ADDRESS(ROW(),COLUMN(),4),L!$A:$A,0)-1,SL,,)</f>
        <v>Geben Sie in Zelle D81 der Erklärung an, ob Sie Due-Diligence-Maßnahmen zur Beschaffung konfliktfreier Mineralien getroffen haben</v>
      </c>
    </row>
    <row r="59" spans="1:10" ht="38.25">
      <c r="A59" s="102" t="str">
        <f ca="1">Declaration!B83</f>
        <v>E. Veranstaltet Ihr Unternehmen (eine) Konfliktmineralienumfrage(n) mit seinen entsprechenden Lieferanten?</v>
      </c>
      <c r="B59" s="102" t="str">
        <f>Declaration!D83</f>
        <v>Yes, using other format (describe)</v>
      </c>
      <c r="C59" s="102" t="str">
        <f t="shared" ca="1" si="10"/>
        <v>Vollständig</v>
      </c>
      <c r="D59" s="108" t="str">
        <f>IF(H59=1,"Click here to answer question (E)","")</f>
        <v/>
      </c>
      <c r="E59" s="84" t="s">
        <v>1330</v>
      </c>
      <c r="F59" s="107">
        <f>F$54</f>
        <v>0</v>
      </c>
      <c r="G59" s="81">
        <f>IF(B59=0,1,0)</f>
        <v>0</v>
      </c>
      <c r="H59" s="82">
        <f t="shared" si="11"/>
        <v>0</v>
      </c>
      <c r="I59" s="179"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8.25">
      <c r="A60" s="102" t="str">
        <f ca="1">Declaration!B85</f>
        <v>F. Überprüfen Sie die Due-Diligence-Informationen, die Sie von ihren Lieferanten erhalten, anhand der Erwartungen Ihres Unternehmens?</v>
      </c>
      <c r="B60" s="102" t="str">
        <f>Declaration!D85</f>
        <v>Yes</v>
      </c>
      <c r="C60" s="102" t="str">
        <f t="shared" ca="1" si="10"/>
        <v>Vollständig</v>
      </c>
      <c r="D60" s="108" t="str">
        <f>IF(H60=1,"Click here to answer question (F)","")</f>
        <v/>
      </c>
      <c r="E60" s="84" t="s">
        <v>1330</v>
      </c>
      <c r="F60" s="107">
        <f>F$54</f>
        <v>0</v>
      </c>
      <c r="G60" s="81">
        <f>IF(B60=0,1,0)</f>
        <v>0</v>
      </c>
      <c r="H60" s="82">
        <f t="shared" si="11"/>
        <v>0</v>
      </c>
      <c r="I60" s="179"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4.25" hidden="1">
      <c r="A61" s="102"/>
      <c r="B61" s="102"/>
      <c r="C61" s="102"/>
      <c r="D61" s="108"/>
      <c r="E61" s="84"/>
      <c r="F61" s="107"/>
      <c r="G61" s="81"/>
      <c r="H61" s="82"/>
      <c r="I61" s="179"/>
    </row>
    <row r="62" spans="1:10" ht="38.25">
      <c r="A62" s="102" t="str">
        <f ca="1">Declaration!B87</f>
        <v>G. Sieht Ihr Review-Prozess ein Korrekturmaßnahmen-Management vor?</v>
      </c>
      <c r="B62" s="102" t="str">
        <f>Declaration!D87</f>
        <v>Yes</v>
      </c>
      <c r="C62" s="102" t="str">
        <f t="shared" ref="C62:C68" ca="1" si="13">IF(H62=1,J62,I62)</f>
        <v>Vollständig</v>
      </c>
      <c r="D62" s="108" t="str">
        <f>IF(H62=1,"Click here to answer question (G)","")</f>
        <v/>
      </c>
      <c r="E62" s="84" t="s">
        <v>1330</v>
      </c>
      <c r="F62" s="107">
        <f>F$54</f>
        <v>0</v>
      </c>
      <c r="G62" s="81">
        <f>IF(B62=0,1,0)</f>
        <v>0</v>
      </c>
      <c r="H62" s="82">
        <f t="shared" ref="H62:H69" si="14">F62*G62</f>
        <v>0</v>
      </c>
      <c r="I62" s="179"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8.25">
      <c r="A63" s="102" t="str">
        <f ca="1">Declaration!B89</f>
        <v>H. Ist Ihr Unternehmen zu einer jährlichen Offenlegung der Konfliktmineralien verpflichtet?</v>
      </c>
      <c r="B63" s="102" t="str">
        <f>Declaration!D89</f>
        <v>No</v>
      </c>
      <c r="C63" s="102" t="str">
        <f t="shared" ca="1" si="13"/>
        <v>Vollständig</v>
      </c>
      <c r="D63" s="108" t="str">
        <f>IF(H63=1,"Click here to answer question (H)","")</f>
        <v/>
      </c>
      <c r="E63" s="84" t="s">
        <v>1330</v>
      </c>
      <c r="F63" s="107">
        <f>F$54</f>
        <v>0</v>
      </c>
      <c r="G63" s="81">
        <f>IF(B63=0,1,0)</f>
        <v>0</v>
      </c>
      <c r="H63" s="82">
        <f t="shared" si="14"/>
        <v>0</v>
      </c>
      <c r="I63" s="179"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8.25">
      <c r="A64" s="102" t="s">
        <v>1323</v>
      </c>
      <c r="B64" s="102" t="str">
        <f>IF(G64=1,"No products or item numbers listed","One or more product / item numbers have been provided")</f>
        <v>No products or item numbers listed</v>
      </c>
      <c r="C64" s="102" t="str">
        <f t="shared" ca="1" si="13"/>
        <v>Vollständig</v>
      </c>
      <c r="D64" s="108" t="str">
        <f>IF(H64=1,"Click here to enter detail on Product List tab","")</f>
        <v/>
      </c>
      <c r="E64" s="84" t="s">
        <v>1330</v>
      </c>
      <c r="F64" s="107">
        <f>IF(B5=Declaration!Q9,1,0)</f>
        <v>0</v>
      </c>
      <c r="G64" s="81">
        <f>IF('Product List'!B6="",1,0)</f>
        <v>1</v>
      </c>
      <c r="H64" s="82">
        <f t="shared" si="14"/>
        <v>0</v>
      </c>
      <c r="I64" s="179"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8.25">
      <c r="A65" s="102" t="s">
        <v>14428</v>
      </c>
      <c r="B65" s="102"/>
      <c r="C65" s="102" t="str">
        <f t="shared" ca="1" si="13"/>
        <v>Vollständig</v>
      </c>
      <c r="D65" s="108" t="str">
        <f>IF(H65=0,"","Click here to provide smelter information")</f>
        <v/>
      </c>
      <c r="E65" s="84" t="s">
        <v>1330</v>
      </c>
      <c r="F65" s="107">
        <f>F24</f>
        <v>0</v>
      </c>
      <c r="G65" s="81">
        <f>IF(AND(COUNTIF(SmelterIdetifiedForMetal,"Tantalum")&gt;0,COUNTIF('Smelter List'!AB$5:AB$2504,"Tantalum?*")&gt;0),0,1)</f>
        <v>0</v>
      </c>
      <c r="H65" s="82">
        <f t="shared" si="14"/>
        <v>0</v>
      </c>
      <c r="I65" s="179" t="str">
        <f ca="1">OFFSET(L!$C$1,MATCH("Checker"&amp;"Comp",L!$A:$A,0)-1,SL,,)</f>
        <v>Vollständig</v>
      </c>
      <c r="J65" s="22" t="str">
        <f ca="1">OFFSET(L!$C$1,MATCH("Checker"&amp;ADDRESS(ROW(),COLUMN(),4),L!$A:$A,0)-1,SL,,)</f>
        <v xml:space="preserve">Geben Sie im Reiter „Schmelzöfenliste“ eine Liste von Tantalum-Schmelzöfen ein, die Material für die Lieferkette beitragen  </v>
      </c>
      <c r="K65" s="186">
        <f>IF(H14+H19&gt;0,1,0)</f>
        <v>0</v>
      </c>
      <c r="L65" s="22" t="e">
        <f ca="1">OFFSET(L!$C$1,MATCH("Checker"&amp;ADDRESS(ROW(),COLUMN(),4),L!$A:$A,0)-1,SL,,)</f>
        <v>#N/A</v>
      </c>
    </row>
    <row r="66" spans="1:12" ht="38.25">
      <c r="A66" s="102" t="s">
        <v>1899</v>
      </c>
      <c r="B66" s="102"/>
      <c r="C66" s="102" t="str">
        <f t="shared" ca="1" si="13"/>
        <v>Vollständig</v>
      </c>
      <c r="D66" s="108" t="str">
        <f>IF(H66=0,"","Click here to provide smelter information")</f>
        <v/>
      </c>
      <c r="E66" s="84" t="s">
        <v>828</v>
      </c>
      <c r="F66" s="107">
        <f>F25</f>
        <v>0</v>
      </c>
      <c r="G66" s="81">
        <f>IF(AND(COUNTIF(SmelterIdetifiedForMetal,"Tin")&gt;0,COUNTIF('Smelter List'!AB$5:AB$2504,"Tin?*")&gt;0),0,1)</f>
        <v>0</v>
      </c>
      <c r="H66" s="82">
        <f t="shared" si="14"/>
        <v>0</v>
      </c>
      <c r="I66" s="179" t="str">
        <f ca="1">OFFSET(L!$C$1,MATCH("Checker"&amp;"Comp",L!$A:$A,0)-1,SL,,)</f>
        <v>Vollständig</v>
      </c>
      <c r="J66" s="22" t="str">
        <f ca="1">OFFSET(L!$C$1,MATCH("Checker"&amp;ADDRESS(ROW(),COLUMN(),4),L!$A:$A,0)-1,SL,,)</f>
        <v xml:space="preserve">Geben Sie im Reiter „Schmelzöfenliste“ eine Liste von Zinn-Schmelzöfen ein, die Material für die Lieferkette beitragen  </v>
      </c>
      <c r="K66" s="186">
        <f>IF(H15+H20&gt;0,1,0)</f>
        <v>0</v>
      </c>
      <c r="L66" s="22" t="e">
        <f ca="1">OFFSET(L!$C$1,MATCH("Checker"&amp;ADDRESS(ROW(),COLUMN(),4),L!$A:$A,0)-1,SL,,)</f>
        <v>#N/A</v>
      </c>
    </row>
    <row r="67" spans="1:12" ht="38.25">
      <c r="A67" s="102" t="s">
        <v>1900</v>
      </c>
      <c r="B67" s="102"/>
      <c r="C67" s="102" t="str">
        <f t="shared" ca="1" si="13"/>
        <v>Vollständig</v>
      </c>
      <c r="D67" s="108" t="str">
        <f>IF(H67=0,"","Click here to provide smelter information")</f>
        <v/>
      </c>
      <c r="E67" s="84" t="s">
        <v>828</v>
      </c>
      <c r="F67" s="107">
        <f>F26</f>
        <v>0</v>
      </c>
      <c r="G67" s="81">
        <f>IF(AND(COUNTIF(SmelterIdetifiedForMetal,"Gold")&gt;0,COUNTIF('Smelter List'!AB$5:AB$2504,"Gold?*")&gt;0),0,1)</f>
        <v>0</v>
      </c>
      <c r="H67" s="82">
        <f t="shared" si="14"/>
        <v>0</v>
      </c>
      <c r="I67" s="179" t="str">
        <f ca="1">OFFSET(L!$C$1,MATCH("Checker"&amp;"Comp",L!$A:$A,0)-1,SL,,)</f>
        <v>Vollständig</v>
      </c>
      <c r="J67" s="22" t="str">
        <f ca="1">OFFSET(L!$C$1,MATCH("Checker"&amp;ADDRESS(ROW(),COLUMN(),4),L!$A:$A,0)-1,SL,,)</f>
        <v xml:space="preserve">Geben Sie im Reiter „Schmelzöfenliste“ eine Liste von Gold-Schmelzöfen ein, die Material für die Lieferkette beitragen  </v>
      </c>
      <c r="K67" s="186">
        <f>IF(H16+H21&gt;0,1,0)</f>
        <v>0</v>
      </c>
      <c r="L67" s="22" t="e">
        <f ca="1">OFFSET(L!$C$1,MATCH("Checker"&amp;ADDRESS(ROW(),COLUMN(),4),L!$A:$A,0)-1,SL,,)</f>
        <v>#N/A</v>
      </c>
    </row>
    <row r="68" spans="1:12" ht="38.25">
      <c r="A68" s="102" t="s">
        <v>1901</v>
      </c>
      <c r="B68" s="102"/>
      <c r="C68" s="102" t="str">
        <f t="shared" ca="1" si="13"/>
        <v>Vollständig</v>
      </c>
      <c r="D68" s="108" t="str">
        <f>IF(H68=0,"","Click here to provide smelter information")</f>
        <v/>
      </c>
      <c r="E68" s="84" t="s">
        <v>828</v>
      </c>
      <c r="F68" s="107">
        <f>F27</f>
        <v>0</v>
      </c>
      <c r="G68" s="81">
        <f>IF(AND(COUNTIF(SmelterIdetifiedForMetal,"Tungsten")&gt;0,COUNTIF('Smelter List'!AB$5:AB$2504,"Tungsten?*")&gt;0),0,1)</f>
        <v>0</v>
      </c>
      <c r="H68" s="82">
        <f t="shared" si="14"/>
        <v>0</v>
      </c>
      <c r="I68" s="179" t="str">
        <f ca="1">OFFSET(L!$C$1,MATCH("Checker"&amp;"Comp",L!$A:$A,0)-1,SL,,)</f>
        <v>Vollständig</v>
      </c>
      <c r="J68" s="22" t="str">
        <f ca="1">OFFSET(L!$C$1,MATCH("Checker"&amp;ADDRESS(ROW(),COLUMN(),4),L!$A:$A,0)-1,SL,,)</f>
        <v xml:space="preserve">Geben Sie im Reiter „Schmelzöfenliste“ eine Liste von Tungsten-Schmelzöfen ein, die Material für die Lieferkette beitragen  </v>
      </c>
      <c r="K68" s="186">
        <f>IF(H17+H22&gt;0,1,0)</f>
        <v>0</v>
      </c>
      <c r="L68" s="22" t="e">
        <f ca="1">OFFSET(L!$C$1,MATCH("Checker"&amp;ADDRESS(ROW(),COLUMN(),4),L!$A:$A,0)-1,SL,,)</f>
        <v>#N/A</v>
      </c>
    </row>
    <row r="69" spans="1:12" ht="24.7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Vollständig</v>
      </c>
      <c r="J69" s="22" t="s">
        <v>2483</v>
      </c>
      <c r="K69" s="186"/>
      <c r="L69" s="22" t="s">
        <v>2484</v>
      </c>
    </row>
    <row r="70" spans="1:12">
      <c r="H70" s="22">
        <f ca="1">SUM(H4:H69)</f>
        <v>0</v>
      </c>
    </row>
    <row r="71" spans="1:12">
      <c r="A71" s="24"/>
    </row>
    <row r="72" spans="1:12">
      <c r="A72" s="24"/>
    </row>
    <row r="73" spans="1:12" ht="12.7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21" priority="358" stopIfTrue="1">
      <formula>$H$56=0</formula>
    </cfRule>
  </conditionalFormatting>
  <conditionalFormatting sqref="B66">
    <cfRule type="expression" dxfId="120" priority="39" stopIfTrue="1">
      <formula>IF(F66=0,TRUE)</formula>
    </cfRule>
  </conditionalFormatting>
  <conditionalFormatting sqref="B67">
    <cfRule type="expression" dxfId="119" priority="35" stopIfTrue="1">
      <formula>IF(F67=0,TRUE)</formula>
    </cfRule>
  </conditionalFormatting>
  <conditionalFormatting sqref="B68:B69">
    <cfRule type="expression" dxfId="118" priority="31" stopIfTrue="1">
      <formula>IF(F68=0,TRUE)</formula>
    </cfRule>
  </conditionalFormatting>
  <conditionalFormatting sqref="C69">
    <cfRule type="expression" dxfId="117" priority="13" stopIfTrue="1">
      <formula>C69="Not Required"</formula>
    </cfRule>
    <cfRule type="expression" dxfId="116" priority="21" stopIfTrue="1">
      <formula>OR(C69="Complete",C69="填写",C69="記入",C69="완료",C69="Complétez",C69="Concluído",C69="Vollständig",C69="Completare",C69="Doldurun")</formula>
    </cfRule>
  </conditionalFormatting>
  <conditionalFormatting sqref="A69">
    <cfRule type="expression" dxfId="115" priority="14" stopIfTrue="1">
      <formula>C69="Not Required"</formula>
    </cfRule>
    <cfRule type="expression" dxfId="114"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13" priority="347" stopIfTrue="1">
      <formula>$F4=0</formula>
    </cfRule>
    <cfRule type="expression" dxfId="112" priority="348" stopIfTrue="1">
      <formula>$H4=0</formula>
    </cfRule>
    <cfRule type="expression" dxfId="111" priority="349" stopIfTrue="1">
      <formula>$H4=1</formula>
    </cfRule>
  </conditionalFormatting>
  <conditionalFormatting sqref="C69 A69">
    <cfRule type="expression" dxfId="110" priority="11" stopIfTrue="1">
      <formula>IF(AND($F$69=1,$G$69=1),TRUE,FALSE)</formula>
    </cfRule>
  </conditionalFormatting>
  <conditionalFormatting sqref="A29:A32">
    <cfRule type="expression" dxfId="109" priority="2" stopIfTrue="1">
      <formula>$F29=0</formula>
    </cfRule>
    <cfRule type="expression" dxfId="108" priority="3" stopIfTrue="1">
      <formula>$H29=0</formula>
    </cfRule>
    <cfRule type="expression" dxfId="107" priority="4" stopIfTrue="1">
      <formula>$H29=1</formula>
    </cfRule>
  </conditionalFormatting>
  <conditionalFormatting sqref="B65">
    <cfRule type="expression" dxfId="106" priority="1" stopIfTrue="1">
      <formula>IF(F65=0,TRUE)</formula>
    </cfRule>
  </conditionalFormatting>
  <conditionalFormatting sqref="A5:A13">
    <cfRule type="expression" dxfId="105" priority="49" stopIfTrue="1">
      <formula>$F5=0</formula>
    </cfRule>
    <cfRule type="expression" dxfId="104" priority="50" stopIfTrue="1">
      <formula>AND($F5=1,$G5=0)</formula>
    </cfRule>
    <cfRule type="expression" dxfId="103"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203125" defaultRowHeight="12.4"/>
  <cols>
    <col min="1" max="1" width="3.17578125" style="116" customWidth="1"/>
    <col min="2" max="2" width="39.8203125" style="117" customWidth="1"/>
    <col min="3" max="3" width="39.8203125" style="116" customWidth="1"/>
    <col min="4" max="4" width="58.8203125" style="116" customWidth="1"/>
    <col min="5" max="5" width="1.5859375" style="116" customWidth="1"/>
    <col min="6" max="6" width="9" customWidth="1"/>
    <col min="7" max="16384" width="8.8203125" style="26"/>
  </cols>
  <sheetData>
    <row r="1" spans="1:6" ht="35.200000000000003" customHeight="1" thickTop="1">
      <c r="A1" s="445" t="str">
        <f ca="1">OFFSET(L!$C$1,MATCH("Product List"&amp;ADDRESS(ROW(),COLUMN(),4),L!$A:$A,0)-1,SL,,)</f>
        <v>Abschluss nur erforderlich, wenn die Ebene "Produkt (oder eine Liste von Produkten)" auf der "Erklärung" Arbeitsblatt ausgewählt wurde-</v>
      </c>
      <c r="B1" s="446"/>
      <c r="C1" s="446"/>
      <c r="D1" s="446"/>
      <c r="E1" s="145"/>
    </row>
    <row r="2" spans="1:6" ht="12.75">
      <c r="A2" s="29"/>
      <c r="B2" s="147"/>
      <c r="C2" s="147"/>
      <c r="D2"/>
      <c r="E2" s="30"/>
    </row>
    <row r="3" spans="1:6" ht="12.75">
      <c r="A3" s="29"/>
      <c r="B3" s="147"/>
      <c r="C3" s="147"/>
      <c r="D3" s="147"/>
      <c r="E3" s="30"/>
    </row>
    <row r="4" spans="1:6" ht="15.75" customHeight="1">
      <c r="A4" s="29"/>
      <c r="B4" s="444" t="s">
        <v>921</v>
      </c>
      <c r="C4" s="444"/>
      <c r="D4" s="444"/>
      <c r="E4" s="30"/>
    </row>
    <row r="5" spans="1:6" ht="15">
      <c r="A5" s="160"/>
      <c r="B5" s="162" t="str">
        <f ca="1">OFFSET(L!$C$1,MATCH("Product List"&amp;ADDRESS(ROW(),COLUMN(),4),L!$A:$A,0)-1,SL,,)</f>
        <v>Produkt- oder Artikelnummer (*)</v>
      </c>
      <c r="C5" s="162" t="str">
        <f ca="1">OFFSET(L!$C$1,MATCH("Product List"&amp;ADDRESS(ROW(),COLUMN(),4),L!$A:$A,0)-1,SL,,)</f>
        <v>Produkt- oder Artikelbeschreibung</v>
      </c>
      <c r="D5" s="85" t="str">
        <f ca="1">OFFSET(L!$C$1,MATCH("Product List"&amp;ADDRESS(ROW(),COLUMN(),4),L!$A:$A,0)-1,SL,,)</f>
        <v>Kommentare</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5" customHeight="1" thickBot="1">
      <c r="A1001" s="159"/>
      <c r="B1001" s="447" t="str">
        <f ca="1">OFFSET(L!$C$1,MATCH("General"&amp;"Cpy",L!$A:$A,0)-1,SL,,)</f>
        <v>© 2020 Responsible Minerals Initiative. All rights reserved.</v>
      </c>
      <c r="C1001" s="447"/>
      <c r="D1001" s="447"/>
      <c r="E1001" s="31"/>
    </row>
    <row r="1002" spans="1:6" ht="12.7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203125" defaultRowHeight="12.4"/>
  <cols>
    <col min="1" max="1" width="9.17578125" style="227" bestFit="1" customWidth="1"/>
    <col min="2" max="2" width="42.8203125" style="227" customWidth="1"/>
    <col min="3" max="3" width="63.8203125" style="227" customWidth="1"/>
    <col min="4" max="4" width="25.5859375" style="227" customWidth="1"/>
    <col min="5" max="5" width="12.5859375" style="227" customWidth="1"/>
    <col min="6" max="6" width="12.5859375" style="228" customWidth="1"/>
    <col min="7" max="7" width="15.3515625" style="227" customWidth="1"/>
    <col min="8" max="8" width="23.8203125" style="227" customWidth="1"/>
    <col min="9" max="9" width="28.17578125" style="227" customWidth="1"/>
    <col min="10" max="10" width="48.234375" style="227" hidden="1" customWidth="1"/>
    <col min="11" max="11" width="49.76171875" style="227" hidden="1" customWidth="1"/>
    <col min="12" max="13" width="49.76171875" style="227" customWidth="1"/>
    <col min="14" max="16384" width="8.8203125" style="227"/>
  </cols>
  <sheetData>
    <row r="1" spans="1:16" ht="168.7" customHeight="1">
      <c r="A1" s="448"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30" customFormat="1" ht="49.5">
      <c r="A4" s="229" t="str">
        <f ca="1">OFFSET(L!$C$1,MATCH("Smelter Look-up"&amp;ADDRESS(ROW(),COLUMN(),4),L!$A:$A,0)-1,SL,,)</f>
        <v>Metall</v>
      </c>
      <c r="B4" s="229" t="str">
        <f ca="1">OFFSET(L!$C$1,MATCH("Smelter Look-up"&amp;ADDRESS(ROW(),COLUMN(),4),L!$A:$A,0)-1,SL,,)</f>
        <v>Schmelzofensuche (*)</v>
      </c>
      <c r="C4" s="229" t="str">
        <f ca="1">OFFSET(L!$C$1,MATCH("Smelter Look-up"&amp;ADDRESS(ROW(),COLUMN(),4),L!$A:$A,0)-1,SL,,)</f>
        <v>Standard Schmelzhütten Namen</v>
      </c>
      <c r="D4" s="229" t="str">
        <f ca="1">OFFSET(L!$C$1,MATCH("Smelter Look-up"&amp;ADDRESS(ROW(),COLUMN(),4),L!$A:$A,0)-1,SL,,)</f>
        <v>Schmelzhütte: Land</v>
      </c>
      <c r="E4" s="229" t="str">
        <f ca="1">OFFSET(L!$C$1,MATCH("Smelter Look-up"&amp;ADDRESS(ROW(),COLUMN(),4),L!$A:$A,0)-1,SL,,)</f>
        <v>Schmelzofen-ID</v>
      </c>
      <c r="F4" s="229" t="str">
        <f ca="1">OFFSET(L!$C$1,MATCH("Smelter Look-up"&amp;ADDRESS(ROW(),COLUMN(),4),L!$A:$A,0)-1,SL,,)</f>
        <v>Quelle der Schmelzhütte Id-Nummer</v>
      </c>
      <c r="G4" s="229" t="str">
        <f ca="1">OFFSET(L!$C$1,MATCH("Smelter Look-up"&amp;ADDRESS(ROW(),COLUMN(),4),L!$A:$A,0)-1,SL,,)</f>
        <v>Schmelzhütten: Straße</v>
      </c>
      <c r="H4" s="229" t="str">
        <f ca="1">OFFSET(L!$C$1,MATCH("Smelter Look-up"&amp;ADDRESS(ROW(),COLUMN(),4),L!$A:$A,0)-1,SL,,)</f>
        <v>Schmelzhütten: Stadt</v>
      </c>
      <c r="I4" s="229" t="str">
        <f ca="1">OFFSET(L!$C$1,MATCH("Smelter Look-up"&amp;ADDRESS(ROW(),COLUMN(),4),L!$A:$A,0)-1,SL,,)</f>
        <v>Schmelzhütten: Bundesland/Provinz</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2.7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02" priority="21" stopIfTrue="1" operator="equal">
      <formula>"Yes"</formula>
    </cfRule>
  </conditionalFormatting>
  <conditionalFormatting sqref="K5">
    <cfRule type="cellIs" dxfId="101" priority="5" stopIfTrue="1" operator="equal">
      <formula>"Yes"</formula>
    </cfRule>
  </conditionalFormatting>
  <conditionalFormatting sqref="J293:J294">
    <cfRule type="cellIs" dxfId="100" priority="3" stopIfTrue="1" operator="equal">
      <formula>"Yes"</formula>
    </cfRule>
  </conditionalFormatting>
  <conditionalFormatting sqref="J353:J354">
    <cfRule type="cellIs" dxfId="99" priority="2" stopIfTrue="1" operator="equal">
      <formula>"Yes"</formula>
    </cfRule>
  </conditionalFormatting>
  <conditionalFormatting sqref="J484:J485">
    <cfRule type="cellIs" dxfId="9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baseColWidth="10" defaultColWidth="8.8203125" defaultRowHeight="13.5"/>
  <cols>
    <col min="1" max="1" width="14.5859375" style="293" customWidth="1"/>
    <col min="2" max="2" width="14" style="293" customWidth="1"/>
    <col min="3" max="3" width="6.17578125" style="293" customWidth="1"/>
    <col min="4" max="4" width="56.234375" style="293" customWidth="1"/>
    <col min="5" max="5" width="53.76171875" style="288" customWidth="1"/>
    <col min="6" max="6" width="54.17578125" style="293" customWidth="1"/>
    <col min="7" max="7" width="68.234375" style="293" customWidth="1"/>
    <col min="8" max="8" width="49.234375" style="293" customWidth="1"/>
    <col min="9" max="9" width="51.5859375" style="293" customWidth="1"/>
    <col min="10" max="10" width="50.234375" style="293" customWidth="1"/>
    <col min="11" max="11" width="51.8203125" style="255" customWidth="1"/>
    <col min="12" max="12" width="66.8203125" style="326" customWidth="1"/>
    <col min="13" max="13" width="46.17578125" style="187" customWidth="1"/>
    <col min="14" max="15" width="8.8203125" style="187" customWidth="1"/>
    <col min="16" max="16384" width="8.82031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37.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1">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11.4">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370.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0.4">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53.15">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14">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14">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57">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08">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99.75">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51">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199.5">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185.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85.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85.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48.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1">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2.7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2.7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49.5">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37.5">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02.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14">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02.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10.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67.5">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3.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3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0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70">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56.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42.75">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28.5">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14.2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49.5">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7.1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37.1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28.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28.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7.1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49.5">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7.1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28.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28.5">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14.2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7">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7">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7">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7">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7">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27">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7">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7">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7">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7">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7">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54">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54">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54">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67.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67.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67.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67.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4">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Rolf Weyermann</cp:lastModifiedBy>
  <cp:lastPrinted>2015-04-21T20:47:43Z</cp:lastPrinted>
  <dcterms:created xsi:type="dcterms:W3CDTF">2010-06-21T21:00:23Z</dcterms:created>
  <dcterms:modified xsi:type="dcterms:W3CDTF">2020-11-23T17:18:41Z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