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T:\CFSI CMRT\überarbeitet am März 2025\"/>
    </mc:Choice>
  </mc:AlternateContent>
  <xr:revisionPtr revIDLastSave="0" documentId="13_ncr:1_{07192E2C-EB41-4C75-AE6A-2FB0826DF6A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5507" yWindow="-93" windowWidth="25786" windowHeight="1398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<sst xmlns="http://schemas.openxmlformats.org/spreadsheetml/2006/main" count="23022" uniqueCount="19212">
  <si>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</si>
  <si>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</si>
  <si>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</si>
  <si>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</si>
  <si>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</si>
  <si>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</si>
  <si>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</si>
  <si>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</si>
  <si>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</si>
  <si>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</si>
  <si>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</si>
  <si>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</si>
  <si>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</si>
  <si>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</si>
  <si>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</si>
  <si>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</si>
  <si>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</si>
  <si>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</si>
  <si>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</si>
  <si>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</si>
  <si>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</si>
  <si>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</si>
  <si>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</si>
  <si>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</si>
  <si>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</si>
  <si>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</si>
  <si>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</si>
  <si>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</si>
  <si>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</si>
  <si>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</si>
  <si>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</si>
  <si>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</si>
  <si>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</si>
  <si>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</si>
  <si>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</si>
  <si>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</si>
  <si>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</si>
  <si>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</si>
  <si>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</si>
  <si>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</si>
  <si>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</si>
  <si>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</si>
  <si>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</si>
  <si>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</si>
  <si>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</si>
  <si>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</si>
  <si>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</si>
  <si>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</si>
  <si>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</si>
  <si>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</si>
  <si>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</si>
  <si>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</si>
  <si>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</si>
  <si>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</si>
  <si>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</si>
  <si>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</si>
  <si>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</si>
  <si>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</si>
  <si>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</si>
  <si>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</si>
  <si>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</si>
  <si>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</si>
  <si>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</si>
  <si>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</si>
  <si>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</si>
  <si>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</si>
  <si>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</si>
  <si>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</si>
  <si>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</si>
  <si>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</si>
  <si>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</si>
  <si>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</si>
  <si>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</si>
  <si>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</si>
  <si>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</si>
  <si>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</si>
  <si>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</si>
  <si>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</si>
  <si>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</si>
  <si>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</si>
  <si>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</si>
  <si>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</si>
  <si>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</si>
  <si>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</si>
  <si>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</si>
  <si>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</si>
  <si>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</si>
  <si>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</si>
  <si>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</si>
  <si>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</si>
  <si>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</si>
  <si>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</si>
  <si>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</si>
  <si>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</si>
  <si>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</si>
  <si>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</si>
  <si>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</si>
  <si>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</si>
  <si>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</si>
  <si>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</si>
  <si>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</si>
  <si>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</si>
  <si>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</si>
  <si>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</si>
  <si>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</si>
  <si>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</si>
  <si>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</si>
  <si>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</si>
  <si>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</si>
  <si>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</si>
  <si>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</si>
  <si>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</si>
  <si>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</si>
  <si>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</si>
  <si>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</si>
  <si>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</si>
  <si>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</si>
  <si>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</si>
  <si>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</si>
  <si>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</si>
  <si>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</si>
  <si>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</si>
  <si>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</si>
  <si>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</si>
  <si>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</si>
  <si>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</si>
  <si>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</si>
  <si>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</si>
  <si>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</si>
  <si>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</si>
  <si>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</si>
  <si>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</si>
  <si>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</si>
  <si>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</si>
  <si>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</si>
  <si>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</si>
  <si>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</si>
  <si>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</si>
  <si>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</si>
  <si>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</si>
  <si>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</si>
  <si>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</si>
  <si>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</si>
  <si>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</si>
  <si>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</si>
  <si>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</si>
  <si>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</si>
  <si>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</si>
  <si>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</si>
  <si>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</si>
  <si>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</si>
  <si>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</si>
  <si>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</si>
  <si>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</si>
  <si>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</si>
  <si>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</si>
  <si>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</si>
  <si>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</si>
  <si>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</si>
  <si>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</si>
  <si>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</si>
  <si>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</si>
  <si>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</si>
  <si>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</si>
  <si>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</si>
  <si>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</si>
  <si>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</si>
  <si>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</si>
  <si>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</si>
  <si>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</si>
  <si>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</si>
  <si>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</si>
  <si>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</si>
  <si>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</si>
  <si>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</si>
  <si>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</si>
  <si>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</si>
  <si>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</si>
  <si>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</si>
  <si>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</si>
  <si>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</si>
  <si>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</si>
  <si>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</si>
  <si>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</si>
  <si>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</si>
  <si>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</si>
  <si>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</si>
  <si>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</si>
  <si>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</si>
  <si>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</si>
  <si>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</si>
  <si>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</si>
  <si>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</si>
  <si>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</si>
  <si>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</si>
  <si>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</si>
  <si>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</si>
  <si>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</si>
  <si>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</si>
  <si>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</si>
  <si>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</si>
  <si>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</si>
  <si>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</si>
  <si>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</si>
  <si>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</si>
  <si>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</si>
  <si>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</si>
  <si>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</si>
  <si>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</si>
  <si>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</si>
  <si>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</si>
  <si>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</si>
  <si>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</si>
  <si>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</si>
  <si>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</si>
  <si>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</si>
  <si>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</si>
  <si>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</si>
  <si>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</si>
  <si>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</si>
  <si>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</si>
  <si>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</si>
  <si>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</si>
  <si>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</si>
  <si>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</si>
  <si>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</si>
  <si>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</si>
  <si>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</si>
  <si>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</si>
  <si>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</si>
  <si>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</si>
  <si>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</si>
  <si>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</si>
  <si>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</si>
  <si>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</si>
  <si>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</si>
  <si>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</si>
  <si>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</si>
  <si>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</si>
  <si>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</si>
  <si>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</si>
  <si>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</si>
  <si>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</si>
  <si>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</si>
  <si>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</si>
  <si>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</si>
  <si>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</si>
  <si>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</si>
  <si>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</si>
  <si>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</si>
  <si>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</si>
  <si>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</si>
  <si>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</si>
  <si>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</si>
  <si>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</si>
  <si>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</si>
  <si>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</si>
  <si>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</si>
  <si>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</si>
  <si>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</si>
  <si>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</si>
  <si>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</si>
  <si>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</si>
  <si>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</si>
  <si>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</si>
  <si>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</si>
  <si>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</si>
  <si>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</si>
  <si>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</si>
  <si>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</si>
  <si>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</si>
  <si>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</si>
  <si>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</si>
  <si>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</si>
  <si>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</si>
  <si>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</si>
  <si>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</si>
  <si>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</si>
  <si>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</si>
  <si>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</si>
  <si>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</si>
  <si>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</si>
  <si>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</si>
  <si>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</si>
  <si>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</si>
  <si>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</si>
  <si>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</si>
  <si>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</si>
  <si>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</si>
  <si>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</si>
  <si>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</si>
  <si>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</si>
  <si>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</si>
  <si>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</si>
  <si>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</si>
  <si>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</si>
  <si>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</si>
  <si>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</si>
  <si>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</si>
  <si>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</si>
  <si>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</si>
  <si>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</si>
  <si>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</si>
  <si>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</si>
  <si>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</si>
  <si>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</si>
  <si>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</si>
  <si>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</si>
  <si>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</si>
  <si>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</si>
  <si>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</si>
  <si>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</si>
  <si>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</si>
  <si>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</si>
  <si>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</si>
  <si>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</si>
  <si>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</si>
  <si>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</si>
  <si>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</si>
  <si>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</si>
  <si>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</si>
  <si>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</si>
  <si>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</si>
  <si>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</si>
  <si>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</si>
  <si>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</si>
  <si>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</si>
  <si>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</si>
  <si>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</si>
  <si>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</si>
  <si>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</si>
  <si>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</si>
  <si>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</si>
  <si>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</si>
  <si>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</si>
  <si>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</si>
  <si>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</si>
  <si>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</si>
  <si>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</si>
  <si>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</si>
  <si>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</si>
  <si>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</si>
  <si>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</si>
  <si>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</si>
  <si>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</si>
  <si>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</si>
  <si>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</si>
  <si>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</si>
  <si>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</si>
  <si>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</si>
  <si>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</si>
  <si>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</si>
  <si>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</si>
  <si>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</si>
  <si>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</si>
  <si>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</si>
  <si>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</si>
  <si>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</si>
  <si>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</si>
  <si>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</si>
  <si>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</si>
  <si>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</si>
  <si>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</si>
  <si>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</si>
  <si>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</si>
  <si>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</si>
  <si>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</si>
  <si>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</si>
  <si>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</si>
  <si>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</si>
  <si>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</si>
  <si>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</si>
  <si>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</si>
  <si>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</si>
  <si>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</si>
  <si>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</si>
  <si>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</si>
  <si>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</si>
  <si>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</si>
  <si>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</si>
  <si>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</si>
  <si>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</si>
  <si>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</si>
  <si>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</si>
  <si>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</si>
  <si>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</si>
  <si>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</si>
  <si>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</si>
  <si>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</si>
  <si>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</si>
  <si>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</si>
  <si>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</si>
  <si>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</si>
  <si>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</si>
  <si>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</si>
  <si>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</si>
  <si>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</si>
  <si>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</si>
  <si>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</si>
  <si>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</si>
  <si>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</si>
  <si>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</si>
  <si>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</si>
  <si>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</si>
  <si>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</si>
  <si>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</si>
  <si>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</si>
  <si>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</si>
  <si>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</si>
  <si>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</si>
  <si>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</si>
  <si>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</si>
  <si>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</si>
  <si>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</si>
  <si>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</si>
  <si>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</si>
  <si>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</si>
  <si>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</si>
  <si>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</si>
  <si>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</si>
  <si>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</si>
  <si>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</si>
  <si>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</si>
  <si>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</si>
  <si>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</si>
  <si>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</si>
  <si>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</si>
  <si>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</si>
  <si>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</si>
  <si>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</si>
  <si>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</si>
  <si>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</si>
  <si>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</si>
  <si>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</si>
  <si>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</si>
  <si>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</si>
  <si>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</si>
  <si>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</si>
  <si>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</si>
  <si>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</si>
  <si>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</si>
  <si>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</si>
  <si>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</si>
  <si>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</si>
  <si>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</si>
  <si>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</si>
  <si>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</si>
  <si>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</si>
  <si>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</si>
  <si>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</si>
  <si>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</si>
  <si>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</si>
  <si>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</si>
  <si>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</si>
  <si>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</si>
  <si>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</si>
  <si>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</si>
  <si>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</si>
  <si>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</si>
  <si>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</si>
  <si>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</si>
  <si>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</si>
  <si>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</si>
  <si>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</si>
  <si>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</si>
  <si>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</si>
  <si>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</si>
  <si>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</si>
  <si>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</si>
  <si>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</si>
  <si>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</si>
  <si>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</si>
  <si>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</si>
  <si>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</si>
  <si>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</si>
  <si>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</si>
  <si>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</si>
  <si>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</si>
  <si>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</si>
  <si>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</si>
  <si>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</si>
  <si>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</si>
  <si>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</si>
  <si>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</si>
  <si>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</si>
  <si>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</si>
  <si>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</si>
  <si>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</si>
  <si>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</si>
  <si>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</si>
  <si>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</si>
  <si>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</si>
  <si>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</si>
  <si>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</si>
  <si>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</si>
  <si>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</si>
  <si>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</si>
  <si>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</si>
  <si>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</si>
  <si>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</si>
  <si>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</si>
  <si>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</si>
  <si>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</si>
  <si>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</si>
  <si>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</si>
  <si>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</si>
  <si>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</si>
  <si>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</si>
  <si>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</si>
  <si>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</si>
  <si>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</si>
  <si>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</si>
  <si>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</si>
  <si>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</si>
  <si>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</si>
  <si>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</si>
  <si>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</si>
  <si>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</si>
  <si>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</si>
  <si>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</si>
  <si>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</si>
  <si>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</si>
  <si>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</si>
  <si>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</si>
  <si>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</si>
  <si>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</si>
  <si>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</si>
  <si>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</si>
  <si>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</si>
  <si>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</si>
  <si>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</si>
  <si>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</si>
  <si>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</si>
  <si>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</si>
  <si>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</si>
  <si>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</si>
  <si>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</si>
  <si>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</si>
  <si>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</si>
  <si>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</si>
  <si>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</si>
  <si>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</si>
  <si>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</si>
  <si>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</si>
  <si>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</si>
  <si>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</si>
  <si>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</si>
  <si>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</si>
  <si>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</si>
  <si>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</si>
  <si>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</si>
  <si>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</si>
  <si>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</si>
  <si>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</si>
  <si>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</si>
  <si>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</si>
  <si>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</si>
  <si>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</si>
  <si>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</si>
  <si>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</si>
  <si>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</si>
  <si>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</si>
  <si>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</si>
  <si>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</si>
  <si>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</si>
  <si>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</si>
  <si>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</si>
  <si>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</si>
  <si>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</si>
  <si>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</si>
  <si>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</si>
  <si>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</si>
  <si>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</si>
  <si>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</si>
  <si>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</si>
  <si>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</si>
  <si>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</si>
  <si>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</si>
  <si>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</si>
  <si>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</si>
  <si>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</si>
  <si>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</si>
  <si>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</si>
  <si>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</si>
  <si>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</si>
  <si>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</si>
  <si>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</si>
  <si>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</si>
  <si>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</si>
  <si>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</si>
  <si>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</si>
  <si>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</si>
  <si>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</si>
  <si>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</si>
  <si>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</si>
  <si>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</si>
  <si>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</si>
  <si>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</si>
  <si>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</si>
  <si>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</si>
  <si>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</si>
  <si>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</si>
  <si>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</si>
  <si>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</si>
  <si>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</si>
  <si>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</si>
  <si>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</si>
  <si>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</si>
  <si>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</si>
  <si>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</si>
  <si>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</si>
  <si>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</si>
  <si>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</si>
  <si>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</si>
  <si>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</si>
  <si>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</si>
  <si>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</si>
  <si>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</si>
  <si>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</si>
  <si>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</si>
  <si>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</si>
  <si>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</si>
  <si>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</si>
  <si>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</si>
  <si>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</si>
  <si>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</si>
  <si>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</si>
  <si>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</si>
  <si>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</si>
  <si>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</si>
  <si>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</si>
  <si>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</si>
  <si>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</si>
  <si>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</si>
  <si>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</si>
  <si>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</si>
  <si>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</si>
  <si>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</si>
  <si>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</si>
  <si>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</si>
  <si>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</si>
  <si>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</si>
  <si>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</si>
  <si>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</si>
  <si>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</si>
  <si>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</si>
  <si>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</si>
  <si>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</si>
  <si>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</si>
  <si>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</si>
  <si>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</si>
  <si>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</si>
  <si>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</si>
  <si>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</si>
  <si>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</si>
  <si>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</si>
  <si>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</si>
  <si>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</si>
  <si>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</si>
  <si>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</si>
  <si>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</si>
  <si>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</si>
  <si>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</si>
  <si>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</si>
  <si>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</si>
  <si>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</si>
  <si>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</si>
  <si>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</si>
  <si>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</si>
  <si>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</si>
  <si>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</si>
  <si>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</si>
  <si>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</si>
  <si>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</si>
  <si>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</si>
  <si>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</si>
  <si>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</si>
  <si>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</si>
  <si>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</si>
  <si>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</si>
  <si>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</si>
  <si>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</si>
  <si>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</si>
  <si>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</si>
  <si>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</si>
  <si>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</si>
  <si>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</si>
  <si>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</si>
  <si>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</si>
  <si>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</si>
  <si>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</si>
  <si>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</si>
  <si>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</si>
  <si>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</si>
  <si>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</si>
  <si>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</si>
  <si>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</si>
  <si>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</si>
  <si>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</si>
  <si>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</si>
  <si>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</si>
  <si>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</si>
  <si>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</si>
  <si>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</si>
  <si>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</si>
  <si>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</si>
  <si>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</si>
  <si>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</si>
  <si>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</si>
  <si>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</si>
  <si>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</si>
  <si>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</si>
  <si>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</si>
  <si>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</si>
  <si>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</si>
  <si>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</si>
  <si>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</si>
  <si>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</si>
  <si>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</si>
  <si>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</si>
  <si>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</si>
  <si>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</si>
  <si>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</si>
  <si>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</si>
  <si>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</si>
  <si>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</si>
  <si>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</si>
  <si>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</si>
  <si>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</si>
  <si>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</si>
  <si>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</si>
  <si>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</si>
  <si>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</si>
  <si>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</si>
  <si>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</si>
  <si>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</si>
  <si>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</si>
  <si>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</si>
  <si>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</si>
  <si>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</si>
  <si>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</si>
  <si>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</si>
  <si>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</si>
  <si>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</si>
  <si>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</si>
  <si>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</si>
  <si>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</si>
  <si>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</si>
  <si>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</si>
  <si>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</si>
  <si>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</si>
  <si>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</si>
  <si>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</si>
  <si>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</si>
  <si>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</si>
  <si>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</si>
  <si>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</si>
  <si>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</si>
  <si>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</si>
  <si>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</si>
  <si>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</si>
  <si>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</si>
  <si>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</si>
  <si>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</si>
  <si>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</si>
  <si>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</si>
  <si>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</si>
  <si>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</si>
  <si>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</si>
  <si>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</si>
  <si>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</si>
  <si>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</si>
  <si>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</si>
  <si>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</si>
  <si>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</si>
  <si>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</si>
  <si>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</si>
  <si>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</si>
  <si>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</si>
  <si>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</si>
  <si>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</si>
  <si>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</si>
  <si>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</si>
  <si>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</si>
  <si>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</si>
  <si>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</si>
  <si>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</si>
  <si>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</si>
  <si>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</si>
  <si>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</si>
  <si>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</si>
  <si>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</si>
  <si>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</si>
  <si>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</si>
  <si>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</si>
  <si>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</si>
  <si>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</si>
  <si>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</si>
  <si>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</si>
  <si>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</si>
  <si>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</si>
  <si>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</si>
  <si>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</si>
  <si>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</si>
  <si>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</si>
  <si>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</si>
  <si>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</si>
  <si>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</si>
  <si>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</si>
  <si>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</si>
  <si>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</si>
  <si>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</si>
  <si>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</si>
  <si>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</si>
  <si>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</si>
  <si>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</si>
  <si>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</si>
  <si>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</si>
  <si>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</si>
  <si>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</si>
  <si>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</si>
  <si>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</si>
  <si>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</si>
  <si>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</si>
  <si>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</si>
  <si>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</si>
  <si>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</si>
  <si>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</si>
  <si>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</si>
  <si>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</si>
  <si>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</si>
  <si>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</si>
  <si>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</si>
  <si>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</si>
  <si>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</si>
  <si>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</si>
  <si>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</si>
  <si>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</si>
  <si>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</si>
  <si>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</si>
  <si>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</si>
  <si>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</si>
  <si>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</si>
  <si>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</si>
  <si>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</si>
  <si>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</si>
  <si>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</si>
  <si>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</si>
  <si>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</si>
  <si>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</si>
  <si>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</si>
  <si>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</si>
  <si>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</si>
  <si>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</si>
  <si>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</si>
  <si>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</si>
  <si>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</si>
  <si>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</si>
  <si>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</si>
  <si>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</si>
  <si>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</si>
  <si>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</si>
  <si>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</si>
  <si>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</si>
  <si>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</si>
  <si>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</si>
  <si>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</si>
  <si>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</si>
  <si>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</si>
  <si>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</si>
  <si>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</si>
  <si>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</si>
  <si>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</si>
  <si>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</si>
  <si>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</si>
  <si>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</si>
  <si>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</si>
  <si>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</si>
  <si>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</si>
  <si>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</si>
  <si>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</si>
  <si>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</si>
  <si>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</si>
  <si>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</si>
  <si>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</si>
  <si>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</si>
  <si>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</si>
  <si>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</si>
  <si>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</si>
  <si>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</si>
  <si>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</si>
  <si>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</si>
  <si>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</si>
  <si>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</si>
  <si>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</si>
  <si>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</si>
  <si>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</si>
  <si>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</si>
  <si>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</si>
  <si>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</si>
  <si>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</si>
  <si>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</si>
  <si>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</si>
  <si>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</si>
  <si>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</si>
  <si>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</si>
  <si>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</si>
  <si>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</si>
  <si>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</si>
  <si>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</si>
  <si>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</si>
  <si>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</si>
  <si>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</si>
  <si>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</si>
  <si>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</si>
  <si>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</si>
  <si>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</si>
  <si>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</si>
  <si>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</si>
  <si>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</si>
  <si>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</si>
  <si>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</si>
  <si>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</si>
  <si>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</si>
  <si>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</si>
  <si>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</si>
  <si>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</si>
  <si>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</si>
  <si>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</si>
  <si>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</si>
  <si>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</si>
  <si>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</si>
  <si>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</si>
  <si>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</si>
  <si>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</si>
  <si>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</si>
  <si>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</si>
  <si>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</si>
  <si>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</si>
  <si>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</si>
  <si>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</si>
  <si>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</si>
  <si>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</si>
  <si>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</si>
  <si>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</si>
  <si>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</si>
  <si>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</si>
  <si>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</si>
  <si>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</si>
  <si>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</si>
  <si>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</si>
  <si>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</si>
  <si>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</si>
  <si>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</si>
  <si>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</si>
  <si>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</si>
  <si>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</si>
  <si>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</si>
  <si>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</si>
  <si>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</si>
  <si>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</si>
  <si>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</si>
  <si>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</si>
  <si>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</si>
  <si>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</si>
  <si>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</si>
  <si>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</si>
  <si>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</si>
  <si>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</si>
  <si>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</si>
  <si>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</si>
  <si>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</si>
  <si>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</si>
  <si>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</si>
  <si>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</si>
  <si>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</si>
  <si>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</si>
  <si>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</si>
  <si>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</si>
  <si>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</si>
  <si>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</si>
  <si>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</si>
  <si>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</si>
  <si>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</si>
  <si>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</si>
  <si>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</si>
  <si>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</si>
  <si>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</si>
  <si>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</si>
  <si>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</si>
  <si>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</si>
  <si>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</si>
  <si>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</si>
  <si>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</si>
  <si>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</si>
  <si>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</si>
  <si>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</si>
  <si>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</si>
  <si>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</si>
  <si>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</si>
  <si>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</si>
  <si>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</si>
  <si>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</si>
  <si>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</si>
  <si>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</si>
  <si>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</si>
  <si>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</si>
  <si>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</si>
  <si>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</si>
  <si>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</si>
  <si>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</si>
  <si>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</si>
  <si>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</si>
  <si>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</si>
  <si>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</si>
  <si>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</si>
  <si>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</si>
  <si>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</si>
  <si>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</si>
  <si>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</si>
  <si>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</si>
  <si>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</si>
  <si>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</si>
  <si>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</si>
  <si>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</si>
  <si>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</si>
  <si>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</si>
  <si>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</si>
  <si>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</si>
  <si>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</si>
  <si>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</si>
  <si>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</si>
  <si>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</si>
  <si>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</si>
  <si>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</si>
  <si>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</si>
  <si>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</si>
  <si>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</si>
  <si>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</si>
  <si>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</si>
  <si>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</si>
  <si>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</si>
  <si>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</si>
  <si>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</si>
  <si>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</si>
  <si>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</si>
  <si>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</si>
  <si>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</si>
  <si>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</si>
  <si>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</si>
  <si>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</si>
  <si>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</si>
  <si>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</si>
  <si>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</si>
  <si>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</si>
  <si>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</si>
  <si>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</si>
  <si>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</si>
  <si>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</si>
  <si>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</si>
  <si>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</si>
  <si>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</si>
  <si>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</si>
  <si>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</si>
  <si>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</si>
  <si>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</si>
  <si>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</si>
  <si>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</si>
  <si>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</si>
  <si>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</si>
  <si>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</si>
  <si>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</si>
  <si>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</si>
  <si>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</si>
  <si>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</si>
  <si>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</si>
  <si>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</si>
  <si>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</si>
  <si>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</si>
  <si>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</si>
  <si>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</si>
  <si>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</si>
  <si>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</si>
  <si>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</si>
  <si>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</si>
  <si>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</si>
  <si>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</si>
  <si>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</si>
  <si>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</si>
  <si>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</si>
  <si>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</si>
  <si>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</si>
  <si>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</si>
  <si>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</si>
  <si>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</si>
  <si>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</si>
  <si>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</si>
  <si>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</si>
  <si>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</si>
  <si>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</si>
  <si>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</si>
  <si>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</si>
  <si>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</si>
  <si>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</si>
  <si>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</si>
  <si>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</si>
  <si>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</si>
  <si>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</si>
  <si>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</si>
  <si>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</si>
  <si>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</si>
  <si>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</si>
  <si>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</si>
  <si>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</si>
  <si>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</si>
  <si>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</si>
  <si>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</si>
  <si>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</si>
  <si>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</si>
  <si>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</si>
  <si>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</si>
  <si>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</si>
  <si>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</si>
  <si>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</si>
  <si>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</si>
  <si>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</si>
  <si>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</si>
  <si>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</si>
  <si>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</si>
  <si>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</si>
  <si>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</si>
  <si>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</si>
  <si>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</si>
  <si>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</si>
  <si>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</si>
  <si>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</si>
  <si>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</si>
  <si>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</si>
  <si>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</si>
  <si>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</si>
  <si>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</si>
  <si>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</si>
  <si>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</si>
  <si>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</si>
  <si>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</si>
  <si>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</si>
  <si>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</si>
  <si>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</si>
  <si>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</si>
  <si>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</si>
  <si>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</si>
  <si>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</si>
  <si>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</si>
  <si>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</si>
  <si>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</si>
  <si>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</si>
  <si>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</si>
  <si>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</si>
  <si>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</si>
  <si>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</si>
  <si>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</si>
  <si>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</si>
  <si>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</si>
  <si>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</si>
  <si>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</si>
  <si>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</si>
  <si>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</si>
  <si>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</si>
  <si>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</si>
  <si>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</si>
  <si>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</si>
  <si>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</si>
  <si>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</si>
  <si>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</si>
  <si>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</si>
  <si>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</si>
  <si>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</si>
  <si>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</si>
  <si>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</si>
  <si>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</si>
  <si>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</si>
  <si>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</si>
  <si>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</si>
  <si>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</si>
  <si>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</si>
  <si>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</si>
  <si>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</si>
  <si>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</si>
  <si>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</si>
  <si>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</si>
  <si>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</si>
  <si>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</si>
  <si>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</si>
  <si>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</si>
  <si>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</si>
  <si>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</si>
  <si>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</si>
  <si>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</si>
  <si>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</si>
  <si>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</si>
  <si>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</si>
  <si>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</si>
  <si>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</si>
  <si>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</si>
  <si>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</si>
  <si>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</si>
  <si>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</si>
  <si>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</si>
  <si>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</si>
  <si>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</si>
  <si>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</si>
  <si>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</si>
  <si>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</si>
  <si>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</si>
  <si>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</si>
  <si>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</si>
  <si>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</si>
  <si>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</si>
  <si>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</si>
  <si>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</si>
  <si>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</si>
  <si>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</si>
  <si>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</si>
  <si>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</si>
  <si>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</si>
  <si>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</si>
  <si>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</si>
  <si>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</si>
  <si>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</si>
  <si>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</si>
  <si>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</si>
  <si>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</si>
  <si>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</si>
  <si>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</si>
  <si>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</si>
  <si>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</si>
  <si>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</si>
  <si>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</si>
  <si>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</si>
  <si>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</si>
  <si>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</si>
  <si>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</si>
  <si>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</si>
  <si>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</si>
  <si>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</si>
  <si>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</si>
  <si>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</si>
  <si>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</si>
  <si>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</si>
  <si>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</si>
  <si>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</si>
  <si>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</si>
  <si>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</si>
  <si>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</si>
  <si>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</si>
  <si>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</si>
  <si>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</si>
  <si>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</si>
  <si>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</si>
  <si>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</si>
  <si>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</si>
  <si>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</si>
  <si>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</si>
  <si>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</si>
  <si>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</si>
  <si>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</si>
  <si>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</si>
  <si>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</si>
  <si>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</si>
  <si>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</si>
  <si>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</si>
  <si>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</si>
  <si>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</si>
  <si>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</si>
  <si>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</si>
  <si>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</si>
  <si>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</si>
  <si>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</si>
  <si>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</si>
  <si>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</si>
  <si>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</si>
  <si>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</si>
  <si>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</si>
  <si>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</si>
  <si>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</si>
  <si>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</si>
  <si>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</si>
  <si>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</si>
  <si>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</si>
  <si>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</si>
  <si>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</si>
  <si>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</si>
  <si>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</si>
  <si>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</si>
  <si>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</si>
  <si>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</si>
  <si>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</si>
  <si>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</si>
  <si>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</si>
  <si>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</si>
  <si>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</si>
  <si>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</si>
  <si>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</si>
  <si>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</si>
  <si>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</si>
  <si>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</si>
  <si>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</si>
  <si>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</si>
  <si>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</si>
  <si>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</si>
  <si>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</si>
  <si>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</si>
  <si>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</si>
  <si>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</si>
  <si>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</si>
  <si>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</si>
  <si>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</si>
  <si>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</si>
  <si>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</si>
  <si>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</si>
  <si>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</si>
  <si>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</si>
  <si>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</si>
  <si>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</si>
  <si>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</si>
  <si>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</si>
  <si>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</si>
  <si>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</si>
  <si>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</si>
  <si>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</si>
  <si>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</si>
  <si>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</si>
  <si>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</si>
  <si>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</si>
  <si>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</si>
  <si>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</si>
  <si>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</si>
  <si>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</si>
  <si>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</si>
  <si>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</si>
  <si>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</si>
  <si>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</si>
  <si>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</si>
  <si>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</si>
  <si>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</si>
  <si>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</si>
  <si>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</si>
  <si>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</si>
  <si>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</si>
  <si>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</si>
  <si>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</si>
  <si>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</si>
  <si>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</si>
  <si>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</si>
  <si>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</si>
  <si>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</si>
  <si>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</si>
  <si>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</si>
  <si>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</si>
  <si>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</si>
  <si>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</si>
  <si>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</si>
  <si>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</si>
  <si>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</si>
  <si>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</si>
  <si>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</si>
  <si>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</si>
  <si>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</si>
  <si>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</si>
  <si>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</si>
  <si>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</si>
  <si>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</si>
  <si>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</si>
  <si>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</si>
  <si>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</si>
  <si>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</si>
  <si>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</si>
  <si>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</si>
  <si>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</si>
  <si>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</si>
  <si>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</si>
  <si>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</si>
  <si>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</si>
  <si>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</si>
  <si>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</si>
  <si>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</si>
  <si>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</si>
  <si>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</si>
  <si>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</si>
  <si>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</si>
  <si>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</si>
  <si>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</si>
  <si>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</si>
  <si>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</si>
  <si>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</si>
  <si>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</si>
  <si>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</si>
  <si>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</si>
  <si>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</si>
  <si>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</si>
  <si>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</si>
  <si>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</si>
  <si>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</si>
  <si>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</si>
  <si>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</si>
  <si>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</si>
  <si>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</si>
  <si>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</si>
  <si>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</si>
  <si>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</si>
  <si>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</si>
  <si>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</si>
  <si>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</si>
  <si>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</si>
  <si>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</si>
  <si>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</si>
  <si>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</si>
  <si>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</si>
  <si>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</si>
  <si>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</si>
  <si>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</si>
  <si>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</si>
  <si>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</si>
  <si>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</si>
  <si>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</si>
  <si>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</si>
  <si>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</si>
  <si>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</si>
  <si>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</si>
  <si>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</si>
  <si>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</si>
  <si>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</si>
  <si>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</si>
  <si>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</si>
  <si>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</si>
  <si>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</si>
  <si>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</si>
  <si>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</si>
  <si>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</si>
  <si>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</si>
  <si>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</si>
  <si>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</si>
  <si>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</si>
  <si>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</si>
  <si>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</si>
  <si>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</si>
  <si>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</si>
  <si>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</si>
  <si>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</si>
  <si>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</si>
  <si>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</si>
  <si>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</si>
  <si>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</si>
  <si>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</si>
  <si>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</si>
  <si>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</si>
  <si>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</si>
  <si>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</si>
  <si>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</si>
  <si>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</si>
  <si>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</si>
  <si>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</si>
  <si>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</si>
  <si>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</si>
  <si>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</si>
  <si>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</si>
  <si>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</si>
  <si>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</si>
  <si>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</si>
  <si>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</si>
  <si>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</si>
  <si>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</si>
  <si>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</si>
  <si>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</si>
  <si>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</si>
  <si>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</si>
  <si>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</si>
  <si>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</si>
  <si>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</si>
  <si>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</si>
  <si>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</si>
  <si>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</si>
  <si>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</si>
  <si>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</si>
  <si>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</si>
  <si>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</si>
  <si>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</si>
  <si>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</si>
  <si>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</si>
  <si>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</si>
  <si>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</si>
  <si>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</si>
  <si>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</si>
  <si>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</si>
  <si>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</si>
  <si>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</si>
  <si>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</si>
  <si>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</si>
  <si>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</si>
  <si>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</si>
  <si>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</si>
  <si>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</si>
  <si>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</si>
  <si>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</si>
  <si>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</si>
  <si>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</si>
  <si>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</si>
  <si>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</si>
  <si>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</si>
  <si>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</si>
  <si>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</si>
  <si>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</si>
  <si>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</si>
  <si>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</si>
  <si>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</si>
  <si>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</si>
  <si>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</si>
  <si>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</si>
  <si>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</si>
  <si>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</si>
  <si>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</si>
  <si>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</si>
  <si>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</si>
  <si>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</si>
  <si>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</si>
  <si>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</si>
  <si>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</si>
  <si>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</si>
  <si>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</si>
  <si>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</si>
  <si>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</si>
  <si>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</si>
  <si>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</si>
  <si>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</si>
  <si>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</si>
  <si>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</si>
  <si>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</si>
  <si>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</si>
  <si>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</si>
  <si>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</si>
  <si>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</si>
  <si>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</si>
  <si>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</si>
  <si>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</si>
  <si>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</si>
  <si>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</si>
  <si>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</si>
  <si>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</si>
  <si>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</si>
  <si>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</si>
  <si>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</si>
  <si>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</si>
  <si>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</si>
  <si>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</si>
  <si>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</si>
  <si>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</si>
  <si>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</si>
  <si>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</si>
  <si>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</si>
  <si>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</si>
  <si>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</si>
  <si>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</si>
  <si>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</si>
  <si>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</si>
  <si>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</si>
  <si>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</si>
  <si>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</si>
  <si>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</si>
  <si>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</si>
  <si>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</si>
  <si>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</si>
  <si>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</si>
  <si>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</si>
  <si>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</si>
  <si>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</si>
  <si>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</si>
  <si>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</si>
  <si>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</si>
  <si>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</si>
  <si>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</si>
  <si>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</si>
  <si>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</si>
  <si>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</si>
  <si>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</si>
  <si>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</si>
  <si>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</si>
  <si>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</si>
  <si>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</si>
  <si>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</si>
  <si>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</si>
  <si>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</si>
  <si>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</si>
  <si>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</si>
  <si>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</si>
  <si>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</si>
  <si>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</si>
  <si>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</si>
  <si>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</si>
  <si>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</si>
  <si>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</si>
  <si>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</si>
  <si>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</si>
  <si>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</si>
  <si>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</si>
  <si>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</si>
  <si>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</si>
  <si>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</si>
  <si>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</si>
  <si>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</si>
  <si>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</si>
  <si>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</si>
  <si>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</si>
  <si>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</si>
  <si>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</si>
  <si>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</si>
  <si>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</si>
  <si>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</si>
  <si>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</si>
  <si>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</si>
  <si>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</si>
  <si>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</si>
  <si>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</si>
  <si>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</si>
  <si>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</si>
  <si>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</si>
  <si>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</si>
  <si>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</si>
  <si>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</si>
  <si>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</si>
  <si>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</si>
  <si>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</si>
  <si>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</si>
  <si>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</si>
  <si>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</si>
  <si>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</si>
  <si>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</si>
  <si>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</si>
  <si>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</si>
  <si>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</si>
  <si>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</si>
  <si>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</si>
  <si>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</si>
  <si>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</si>
  <si>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</si>
  <si>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</si>
  <si>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</si>
  <si>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</si>
  <si>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</si>
  <si>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</si>
  <si>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</si>
  <si>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</si>
  <si>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</si>
  <si>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</si>
  <si>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</si>
  <si>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</si>
  <si>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</si>
  <si>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</si>
  <si>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</si>
  <si>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</si>
  <si>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</si>
  <si>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</si>
  <si>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</si>
  <si>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</si>
  <si>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</si>
  <si>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</si>
  <si>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</si>
  <si>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</si>
  <si>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</si>
  <si>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</si>
  <si>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</si>
  <si>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</si>
  <si>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</si>
  <si>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</si>
  <si>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</si>
  <si>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</si>
  <si>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</si>
  <si>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</si>
  <si>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</si>
  <si>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</si>
  <si>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</si>
  <si>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</si>
  <si>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</si>
  <si>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</si>
  <si>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</si>
  <si>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</si>
  <si>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</si>
  <si>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</si>
  <si>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</si>
  <si>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</si>
  <si>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</si>
  <si>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</si>
  <si>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</si>
  <si>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</si>
  <si>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</si>
  <si>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</si>
  <si>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</si>
  <si>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</si>
  <si>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</si>
  <si>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</si>
  <si>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</si>
  <si>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</si>
  <si>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</si>
  <si>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</si>
  <si>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</si>
  <si>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</si>
  <si>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</si>
  <si>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</si>
  <si>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</si>
  <si>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</si>
  <si>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</si>
  <si>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</si>
  <si>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</si>
  <si>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</si>
  <si>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</si>
  <si>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</si>
  <si>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</si>
  <si>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</si>
  <si>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</si>
  <si>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</si>
  <si>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</si>
  <si>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</si>
  <si>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</si>
  <si>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</si>
  <si>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</si>
  <si>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</si>
  <si>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</si>
  <si>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</si>
  <si>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</si>
  <si>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</si>
  <si>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</si>
  <si>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</si>
  <si>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</si>
  <si>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</si>
  <si>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</si>
  <si>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</si>
  <si>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</si>
  <si>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</si>
  <si>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</si>
  <si>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</si>
  <si>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</si>
  <si>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</si>
  <si>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</si>
  <si>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</si>
  <si>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</si>
  <si>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</si>
  <si>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</si>
  <si>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</si>
  <si>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</si>
  <si>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</si>
  <si>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</si>
  <si>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</si>
  <si>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</si>
  <si>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</si>
  <si>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</si>
  <si>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</si>
  <si>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</si>
  <si>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</si>
  <si>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</si>
  <si>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</si>
  <si>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</si>
  <si>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</si>
  <si>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</si>
  <si>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</si>
  <si>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</si>
  <si>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</si>
  <si>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</si>
  <si>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</si>
  <si>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</si>
  <si>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</si>
  <si>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</si>
  <si>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</si>
  <si>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</si>
  <si>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</si>
  <si>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</si>
  <si>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</si>
  <si>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</si>
  <si>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</si>
  <si>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</si>
  <si>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</si>
  <si>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</si>
  <si>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</si>
  <si>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</si>
  <si>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</si>
  <si>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</si>
  <si>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</si>
  <si>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</si>
  <si>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</si>
  <si>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</si>
  <si>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</si>
  <si>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</si>
  <si>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</si>
  <si>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</si>
  <si>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</si>
  <si>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</si>
  <si>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</si>
  <si>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</si>
  <si>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</si>
  <si>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</si>
  <si>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</si>
  <si>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</si>
  <si>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</si>
  <si>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</si>
  <si>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</si>
  <si>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</si>
  <si>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</si>
  <si>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</si>
  <si>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</si>
  <si>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</si>
  <si>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</si>
  <si>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</si>
  <si>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</si>
  <si>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</si>
  <si>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</si>
  <si>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</si>
  <si>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</si>
  <si>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</si>
  <si>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</si>
  <si>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</si>
  <si>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</si>
  <si>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</si>
  <si>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</si>
  <si>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</si>
  <si>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</si>
  <si>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</si>
  <si>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</si>
  <si>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</si>
  <si>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</si>
  <si>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</si>
  <si>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</si>
  <si>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</si>
  <si>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</si>
  <si>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</si>
  <si>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</si>
  <si>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</si>
  <si>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</si>
  <si>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</si>
  <si>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</si>
  <si>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</si>
  <si>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</si>
  <si>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</si>
  <si>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</si>
  <si>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</si>
  <si>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</si>
  <si>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</si>
  <si>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</si>
  <si>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</si>
  <si>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</si>
  <si>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</si>
  <si>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</si>
  <si>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</si>
  <si>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</si>
  <si>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</si>
  <si>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</si>
  <si>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</si>
  <si>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</si>
  <si>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</si>
  <si>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</si>
  <si>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</si>
  <si>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</si>
  <si>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</si>
  <si>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</si>
  <si>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</si>
  <si>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</si>
  <si>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</si>
  <si>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</si>
  <si>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</si>
  <si>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</si>
  <si>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</si>
  <si>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</si>
  <si>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</si>
  <si>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</si>
  <si>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</si>
  <si>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</si>
  <si>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</si>
  <si>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</si>
  <si>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</si>
  <si>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</si>
  <si>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</si>
  <si>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</si>
  <si>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</si>
  <si>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</si>
  <si>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</si>
  <si>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</si>
  <si>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</si>
  <si>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</si>
  <si>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</si>
  <si>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</si>
  <si>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</si>
  <si>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</si>
  <si>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</si>
  <si>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</si>
  <si>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</si>
  <si>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</si>
  <si>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</si>
  <si>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</si>
  <si>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</si>
  <si>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</si>
  <si>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</si>
  <si>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</si>
  <si>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</si>
  <si>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</si>
  <si>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</si>
  <si>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</si>
  <si>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</si>
  <si>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</si>
  <si>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</si>
  <si>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</si>
  <si>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</si>
  <si>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</si>
  <si>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</si>
  <si>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</si>
  <si>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</si>
  <si>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</si>
  <si>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</si>
  <si>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</si>
  <si>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</si>
  <si>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</si>
  <si>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</si>
  <si>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</si>
  <si>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</si>
  <si>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</si>
  <si>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</si>
  <si>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</si>
  <si>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</si>
  <si>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</si>
  <si>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</si>
  <si>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</si>
  <si>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</si>
  <si>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</si>
  <si>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</si>
  <si>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</si>
  <si>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</si>
  <si>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</si>
  <si>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</si>
  <si>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</si>
  <si>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</si>
  <si>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</si>
  <si>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</si>
  <si>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</si>
  <si>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</si>
  <si>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</si>
  <si>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</si>
  <si>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</si>
  <si>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</si>
  <si>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</si>
  <si>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</si>
  <si>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</si>
  <si>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</si>
  <si>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</si>
  <si>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</si>
  <si>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</si>
  <si>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</si>
  <si>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</si>
  <si>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</si>
  <si>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</si>
  <si>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</si>
  <si>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</si>
  <si>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</si>
  <si>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</si>
  <si>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</si>
  <si>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</si>
  <si>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</si>
  <si>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</si>
  <si>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</si>
  <si>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</si>
  <si>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</si>
  <si>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</si>
  <si>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</si>
  <si>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</si>
  <si>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</si>
  <si>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</si>
  <si>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</si>
  <si>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</si>
  <si>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</si>
  <si>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</si>
  <si>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</si>
  <si>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</si>
  <si>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</si>
  <si>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</si>
  <si>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</si>
  <si>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</si>
  <si>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</si>
  <si>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</si>
  <si>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</si>
  <si>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</si>
  <si>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</si>
  <si>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</si>
  <si>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</si>
  <si>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</si>
  <si>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</si>
  <si>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</si>
  <si>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</si>
  <si>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</si>
  <si>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</si>
  <si>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</si>
  <si>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</si>
  <si>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</si>
  <si>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</si>
  <si>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</si>
  <si>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</si>
  <si>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</si>
  <si>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</si>
  <si>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</si>
  <si>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</si>
  <si>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</si>
  <si>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</si>
  <si>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</si>
  <si>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</si>
  <si>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</si>
  <si>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</si>
  <si>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</si>
  <si>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</si>
  <si>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</si>
  <si>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</si>
  <si>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</si>
  <si>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</si>
  <si>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</si>
  <si>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</si>
  <si>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</si>
  <si>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</si>
  <si>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</si>
  <si>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</si>
  <si>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</si>
  <si>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</si>
  <si>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</si>
  <si>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</si>
  <si>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</si>
  <si>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</si>
  <si>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</si>
  <si>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</si>
  <si>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</si>
  <si>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</si>
  <si>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</si>
  <si>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</si>
  <si>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</si>
  <si>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</si>
  <si>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</si>
  <si>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</si>
  <si>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</si>
  <si>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</si>
  <si>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</si>
  <si>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</si>
  <si>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</si>
  <si>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</si>
  <si>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</si>
  <si>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</si>
  <si>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</si>
  <si>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</si>
  <si>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</si>
  <si>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</si>
  <si>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</si>
  <si>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</si>
  <si>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</si>
  <si>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</si>
  <si>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</si>
  <si>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</si>
  <si>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</si>
  <si>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</si>
  <si>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</si>
  <si>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</si>
  <si>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</si>
  <si>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</si>
  <si>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</si>
  <si>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</si>
  <si>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</si>
  <si>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</si>
  <si>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</si>
  <si>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</si>
  <si>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</si>
  <si>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</si>
  <si>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</si>
  <si>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</si>
  <si>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</si>
  <si>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</si>
  <si>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</si>
  <si>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</si>
  <si>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</si>
  <si>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</si>
  <si>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</si>
  <si>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</si>
  <si>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</si>
  <si>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</si>
  <si>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</si>
  <si>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</si>
  <si>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</si>
  <si>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</si>
  <si>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</si>
  <si>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</si>
  <si>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</si>
  <si>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</si>
  <si>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</si>
  <si>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</si>
  <si>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</si>
  <si>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</si>
  <si>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</si>
  <si>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</si>
  <si>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</si>
  <si>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</si>
  <si>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</si>
  <si>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</si>
  <si>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</si>
  <si>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</si>
  <si>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</si>
  <si>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</si>
  <si>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</si>
  <si>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</si>
  <si>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</si>
  <si>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</si>
  <si>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</si>
  <si>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</si>
  <si>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</si>
  <si>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</si>
  <si>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</si>
  <si>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</si>
  <si>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</si>
  <si>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</si>
  <si>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</si>
  <si>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</si>
  <si>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</si>
  <si>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</si>
  <si>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</si>
  <si>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</si>
  <si>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</si>
  <si>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</si>
  <si>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</si>
  <si>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</si>
  <si>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</si>
  <si>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</si>
  <si>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</si>
  <si>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</si>
  <si>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</si>
  <si>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</si>
  <si>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</si>
  <si>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</si>
  <si>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</si>
  <si>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</si>
  <si>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</si>
  <si>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</si>
  <si>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</si>
  <si>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</si>
  <si>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</si>
  <si>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</si>
  <si>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</si>
  <si>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</si>
  <si>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</si>
  <si>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</si>
  <si>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</si>
  <si>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</si>
  <si>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</si>
  <si>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</si>
  <si>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</si>
  <si>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</si>
  <si>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</si>
  <si>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</si>
  <si>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</si>
  <si>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</si>
  <si>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</si>
  <si>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</si>
  <si>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</si>
  <si>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</si>
  <si>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</si>
  <si>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</si>
  <si>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</si>
  <si>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</si>
  <si>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</si>
  <si>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</si>
  <si>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</si>
  <si>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</si>
  <si>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</si>
  <si>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</si>
  <si>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</si>
  <si>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</si>
  <si>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</si>
  <si>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</si>
  <si>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</si>
  <si>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</si>
  <si>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</si>
  <si>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</si>
  <si>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</si>
  <si>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</si>
  <si>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</si>
  <si>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</si>
  <si>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</si>
  <si>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</si>
  <si>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</si>
  <si>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</si>
  <si>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</si>
  <si>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</si>
  <si>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</si>
  <si>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</si>
  <si>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</si>
  <si>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</si>
  <si>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</si>
  <si>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</si>
  <si>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</si>
  <si>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</si>
  <si>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</si>
  <si>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</si>
  <si>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</si>
  <si>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</si>
  <si>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</si>
  <si>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</si>
  <si>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</si>
  <si>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</si>
  <si>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</si>
  <si>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</si>
  <si>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</si>
  <si>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</si>
  <si>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</si>
  <si>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</si>
  <si>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</si>
  <si>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</si>
  <si>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</si>
  <si>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</si>
  <si>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</si>
  <si>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</si>
  <si>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</si>
  <si>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</si>
  <si>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</si>
  <si>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</si>
  <si>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</si>
  <si>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</si>
  <si>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</si>
  <si>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</si>
  <si>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</si>
  <si>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</si>
  <si>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</si>
  <si>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</si>
  <si>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</si>
  <si>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</si>
  <si>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</si>
  <si>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</si>
  <si>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</si>
  <si>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</si>
  <si>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</si>
  <si>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</si>
  <si>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</si>
  <si>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</si>
  <si>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</si>
  <si>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</si>
  <si>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</si>
  <si>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</si>
  <si>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</si>
  <si>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</si>
  <si>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</si>
  <si>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</si>
  <si>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</si>
  <si>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</si>
  <si>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</si>
  <si>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</si>
  <si>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</si>
  <si>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</si>
  <si>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</si>
  <si>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</si>
  <si>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</si>
  <si>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</si>
  <si>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</si>
  <si>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</si>
  <si>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</si>
  <si>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</si>
  <si>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</si>
  <si>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</si>
  <si>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</si>
  <si>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</si>
  <si>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</si>
  <si>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</si>
  <si>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</si>
  <si>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</si>
  <si>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</si>
  <si>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</si>
  <si>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</si>
  <si>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</si>
  <si>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</si>
  <si>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</si>
  <si>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</si>
  <si>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</si>
  <si>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</si>
  <si>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</si>
  <si>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</si>
  <si>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</si>
  <si>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</si>
  <si>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</si>
  <si>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</si>
  <si>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</si>
  <si>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</si>
  <si>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</si>
  <si>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</si>
  <si>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</si>
  <si>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</si>
  <si>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</si>
  <si>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</si>
  <si>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</si>
  <si>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</si>
  <si>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</si>
  <si>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</si>
  <si>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</si>
  <si>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</si>
  <si>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</si>
  <si>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</si>
  <si>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</si>
  <si>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</si>
  <si>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</si>
  <si>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</si>
  <si>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</si>
  <si>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</si>
  <si>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</si>
  <si>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</si>
  <si>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</si>
  <si>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</si>
  <si>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</si>
  <si>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</si>
  <si>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</si>
  <si>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</si>
  <si>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</si>
  <si>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</si>
  <si>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</si>
  <si>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</si>
  <si>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</si>
  <si>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</si>
  <si>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</si>
  <si>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</si>
  <si>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</si>
  <si>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</si>
  <si>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</si>
  <si>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</si>
  <si>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</si>
  <si>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</si>
  <si>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</si>
  <si>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</si>
  <si>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</si>
  <si>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</si>
  <si>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</si>
  <si>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</si>
  <si>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</si>
  <si>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</si>
  <si>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</si>
  <si>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</si>
  <si>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</si>
  <si>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</si>
  <si>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</si>
  <si>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</si>
  <si>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</si>
  <si>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</si>
  <si>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</si>
  <si>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</si>
  <si>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</si>
  <si>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</si>
  <si>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</si>
  <si>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</si>
  <si>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</si>
  <si>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</si>
  <si>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</si>
  <si>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</si>
  <si>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</si>
  <si>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</si>
  <si>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</si>
  <si>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</si>
  <si>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</si>
  <si>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</si>
  <si>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</si>
  <si>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</si>
  <si>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</si>
  <si>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</si>
  <si>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</si>
  <si>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</si>
  <si>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</si>
  <si>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</si>
  <si>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</si>
  <si>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</si>
  <si>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</si>
  <si>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</si>
  <si>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</si>
  <si>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</si>
  <si>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</si>
  <si>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</si>
  <si>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</si>
  <si>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</si>
  <si>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</si>
  <si>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</si>
  <si>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</si>
  <si>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</si>
  <si>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</si>
  <si>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</si>
  <si>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</si>
  <si>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</si>
  <si>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</si>
  <si>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</si>
  <si>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</si>
  <si>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</si>
  <si>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</si>
  <si>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</si>
  <si>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</si>
  <si>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</si>
  <si>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</si>
  <si>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</si>
  <si>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</si>
  <si>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</si>
  <si>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</si>
  <si>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</si>
  <si>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</si>
  <si>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</si>
  <si>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</si>
  <si>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</si>
  <si>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</si>
  <si>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</si>
  <si>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</si>
  <si>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</si>
  <si>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</si>
  <si>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</si>
  <si>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</si>
  <si>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</si>
  <si>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</si>
  <si>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</si>
  <si>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</si>
  <si>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</si>
  <si>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</si>
  <si>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</si>
  <si>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</si>
  <si>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</si>
  <si>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</si>
  <si>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</si>
  <si>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</si>
  <si>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</si>
  <si>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</si>
  <si>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</si>
  <si>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</si>
  <si>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</si>
  <si>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</si>
  <si>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</si>
  <si>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</si>
  <si>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</si>
  <si>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</si>
  <si>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</si>
  <si>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</si>
  <si>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</si>
  <si>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</si>
  <si>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</si>
  <si>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</si>
  <si>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</si>
  <si>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</si>
  <si>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</si>
  <si>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</si>
  <si>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</si>
  <si>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</si>
  <si>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</si>
  <si>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</si>
  <si>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</si>
  <si>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</si>
  <si>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</si>
  <si>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</si>
  <si>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</si>
  <si>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</si>
  <si>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</si>
  <si>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</si>
  <si>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</si>
  <si>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</si>
  <si>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</si>
  <si>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</si>
  <si>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</si>
  <si>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</si>
  <si>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</si>
  <si>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</si>
  <si>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</si>
  <si>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</si>
  <si>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</si>
  <si>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</si>
  <si>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</si>
  <si>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</si>
  <si>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</si>
  <si>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</si>
  <si>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</si>
  <si>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</si>
  <si>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</si>
  <si>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</si>
  <si>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</si>
  <si>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</si>
  <si>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</si>
  <si>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</si>
  <si>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</si>
  <si>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</si>
  <si>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</si>
  <si>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</si>
  <si>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</si>
  <si>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</si>
  <si>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</si>
  <si>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</si>
  <si>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</si>
  <si>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</si>
  <si>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</si>
  <si>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</si>
  <si>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</si>
  <si>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</si>
  <si>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</si>
  <si>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</si>
  <si>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</si>
  <si>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</si>
  <si>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</si>
  <si>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</si>
  <si>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</si>
  <si>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</si>
  <si>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</si>
  <si>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</si>
  <si>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</si>
  <si>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</si>
  <si>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</si>
  <si>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</si>
  <si>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</si>
  <si>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</si>
  <si>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</si>
  <si>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</si>
  <si>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</si>
  <si>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</si>
  <si>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</si>
  <si>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</si>
  <si>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</si>
  <si>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</si>
  <si>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</si>
  <si>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</si>
  <si>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</si>
  <si>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</si>
  <si>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</si>
  <si>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</si>
  <si>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</si>
  <si>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</si>
  <si>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</si>
  <si>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</si>
  <si>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</si>
  <si>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</si>
  <si>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</si>
  <si>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</si>
  <si>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</si>
  <si>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</si>
  <si>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</si>
  <si>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</si>
  <si>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</si>
  <si>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</si>
  <si>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</si>
  <si>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</si>
  <si>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</si>
  <si>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</si>
  <si>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</si>
  <si>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</si>
  <si>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</si>
  <si>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</si>
  <si>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</si>
  <si>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</si>
  <si>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</si>
  <si>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</si>
  <si>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</si>
  <si>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</si>
  <si>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</si>
  <si>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</si>
  <si>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</si>
  <si>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</si>
  <si>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</si>
  <si>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</si>
  <si>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</si>
  <si>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</si>
  <si>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</si>
  <si>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</si>
  <si>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</si>
  <si>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</si>
  <si>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</si>
  <si>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</si>
  <si>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</si>
  <si>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</si>
  <si>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</si>
  <si>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</si>
  <si>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</si>
  <si>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</si>
  <si>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</si>
  <si>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</si>
  <si>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</si>
  <si>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</si>
  <si>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</si>
  <si>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</si>
  <si>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</si>
  <si>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</si>
  <si>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</si>
  <si>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</si>
  <si>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</si>
  <si>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</si>
  <si>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</si>
  <si>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</si>
  <si>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</si>
  <si>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</si>
  <si>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</si>
  <si>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</si>
  <si>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</si>
  <si>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</si>
  <si>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</si>
  <si>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</si>
  <si>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</si>
  <si>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</si>
  <si>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</si>
  <si>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</si>
  <si>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</si>
  <si>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</si>
  <si>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</si>
  <si>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</si>
  <si>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</si>
  <si>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</si>
  <si>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</si>
  <si>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</si>
  <si>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</si>
  <si>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</si>
  <si>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</si>
  <si>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</si>
  <si>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</si>
  <si>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</si>
  <si>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</si>
  <si>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</si>
  <si>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</si>
  <si>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</si>
  <si>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</si>
  <si>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</si>
  <si>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</si>
  <si>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</si>
  <si>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</si>
  <si>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</si>
  <si>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</si>
  <si>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</si>
  <si>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</si>
  <si>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</si>
  <si>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</si>
  <si>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</si>
  <si>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</si>
  <si>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</si>
  <si>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</si>
  <si>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</si>
  <si>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</si>
  <si>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</si>
  <si>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</si>
  <si>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</si>
  <si>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</si>
  <si>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</si>
  <si>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</si>
  <si>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</si>
  <si>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</si>
  <si>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</si>
  <si>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</si>
  <si>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</si>
  <si>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</si>
  <si>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</si>
  <si>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</si>
  <si>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</si>
  <si>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</si>
  <si>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</si>
  <si>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</si>
  <si>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</si>
  <si>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</si>
  <si>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</si>
  <si>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</si>
  <si>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</si>
  <si>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</si>
  <si>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</si>
  <si>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</si>
  <si>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</si>
  <si>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</si>
  <si>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</si>
  <si>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</si>
  <si>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</si>
  <si>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</si>
  <si>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</si>
  <si>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</si>
  <si>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</si>
  <si>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</si>
  <si>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</si>
  <si>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</si>
  <si>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</si>
  <si>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</si>
  <si>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</si>
  <si>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</si>
  <si>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</si>
  <si>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</si>
  <si>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</si>
  <si>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</si>
  <si>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</si>
  <si>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</si>
  <si>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</si>
  <si>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</si>
  <si>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</si>
  <si>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</si>
  <si>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</si>
  <si>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</si>
  <si>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</si>
  <si>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</si>
  <si>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</si>
  <si>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</si>
  <si>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</si>
  <si>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</si>
  <si>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</si>
  <si>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</si>
  <si>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</si>
  <si>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</si>
  <si>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</si>
  <si>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</si>
  <si>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</si>
  <si>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</si>
  <si>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</si>
  <si>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</si>
  <si>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</si>
  <si>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</si>
  <si>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</si>
  <si>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</si>
  <si>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</si>
  <si>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</si>
  <si>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</si>
  <si>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</si>
  <si>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</si>
  <si>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</si>
  <si>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</si>
  <si>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</si>
  <si>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</si>
  <si>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</si>
  <si>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</si>
  <si>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</si>
  <si>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</si>
  <si>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</si>
  <si>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</si>
  <si>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</si>
  <si>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</si>
  <si>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</si>
  <si>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</si>
  <si>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</si>
  <si>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</si>
  <si>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</si>
  <si>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</si>
  <si>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</si>
  <si>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</si>
  <si>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</si>
  <si>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</si>
  <si>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</si>
  <si>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</si>
  <si>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</si>
  <si>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</si>
  <si>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</si>
  <si>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</si>
  <si>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</si>
  <si>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</si>
  <si>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</si>
  <si>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</si>
  <si>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</si>
  <si>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</si>
  <si>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</si>
  <si>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</si>
  <si>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</si>
  <si>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</si>
  <si>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</si>
  <si>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</si>
  <si>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</si>
  <si>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</si>
  <si>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</si>
  <si>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</si>
  <si>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</si>
  <si>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</si>
  <si>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</si>
  <si>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</si>
  <si>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</si>
  <si>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</si>
  <si>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</si>
  <si>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</si>
  <si>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</si>
  <si>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</si>
  <si>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</si>
  <si>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</si>
  <si>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</si>
  <si>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</si>
  <si>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</si>
  <si>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</si>
  <si>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</si>
  <si>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</si>
  <si>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</si>
  <si>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</si>
  <si>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</si>
  <si>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</si>
  <si>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</si>
  <si>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</si>
  <si>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</si>
  <si>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</si>
  <si>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</si>
  <si>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</si>
  <si>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</si>
  <si>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</si>
  <si>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</si>
  <si>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</si>
  <si>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</si>
  <si>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</si>
  <si>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</si>
  <si>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</si>
  <si>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</si>
  <si>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</si>
  <si>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</si>
  <si>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</si>
  <si>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</si>
  <si>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</si>
  <si>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</si>
  <si>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</si>
  <si>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</si>
  <si>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</si>
  <si>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</si>
  <si>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</si>
  <si>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</si>
  <si>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</si>
  <si>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</si>
  <si>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</si>
  <si>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</si>
  <si>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</si>
  <si>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</si>
  <si>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</si>
  <si>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</si>
  <si>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</si>
  <si>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</si>
  <si>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</si>
  <si>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</si>
  <si>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</si>
  <si>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</si>
  <si>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</si>
  <si>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</si>
  <si>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</si>
  <si>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</si>
  <si>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</si>
  <si>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</si>
  <si>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</si>
  <si>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</si>
  <si>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</si>
  <si>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</si>
  <si>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</si>
  <si>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</si>
  <si>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</si>
  <si>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</si>
  <si>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</si>
  <si>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</si>
  <si>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</si>
  <si>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</si>
  <si>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</si>
  <si>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</si>
  <si>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</si>
  <si>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</si>
  <si>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</si>
  <si>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</si>
  <si>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</si>
  <si>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</si>
  <si>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</si>
  <si>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</si>
  <si>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</si>
  <si>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</si>
  <si>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</si>
  <si>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</si>
  <si>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</si>
  <si>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</si>
  <si>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</si>
  <si>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</si>
  <si>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</si>
  <si>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</si>
  <si>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</si>
  <si>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</si>
  <si>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</si>
  <si>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</si>
  <si>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</si>
  <si>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</si>
  <si>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</si>
  <si>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</si>
  <si>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</si>
  <si>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</si>
  <si>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</si>
  <si>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</si>
  <si>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</si>
  <si>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</si>
  <si>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</si>
  <si>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</si>
  <si>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</si>
  <si>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</si>
  <si>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</si>
  <si>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</si>
  <si>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</si>
  <si>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</si>
  <si>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</si>
  <si>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</si>
  <si>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</si>
  <si>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</si>
  <si>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</si>
  <si>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</si>
  <si>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</si>
  <si>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</si>
  <si>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</si>
  <si>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</si>
  <si>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</si>
  <si>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</si>
  <si>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</si>
  <si>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</si>
  <si>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</si>
  <si>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</si>
  <si>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</si>
  <si>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</si>
  <si>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</si>
  <si>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</si>
  <si>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</si>
  <si>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</si>
  <si>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</si>
  <si>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</si>
  <si>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</si>
  <si>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</si>
  <si>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</si>
  <si>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</si>
  <si>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</si>
  <si>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</si>
  <si>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</si>
  <si>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</si>
  <si>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</si>
  <si>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</si>
  <si>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</si>
  <si>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</si>
  <si>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</si>
  <si>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</si>
  <si>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</si>
  <si>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</si>
  <si>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</si>
  <si>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</si>
  <si>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</si>
  <si>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</si>
  <si>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</si>
  <si>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</si>
  <si>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</si>
  <si>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</si>
  <si>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</si>
  <si>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</si>
  <si>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</si>
  <si>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</si>
  <si>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</si>
  <si>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</si>
  <si>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</si>
  <si>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</si>
  <si>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</si>
  <si>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</si>
  <si>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</si>
  <si>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</si>
  <si>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</si>
  <si>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</si>
  <si>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</si>
  <si>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</si>
  <si>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</si>
  <si>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</si>
  <si>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</si>
  <si>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</si>
  <si>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</si>
  <si>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</si>
  <si>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</si>
  <si>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</si>
  <si>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</si>
  <si>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</si>
  <si>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</si>
  <si>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</si>
  <si>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</si>
  <si>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</si>
  <si>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</si>
  <si>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</si>
  <si>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</si>
  <si>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</si>
  <si>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</si>
  <si>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</si>
  <si>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</si>
  <si>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</si>
  <si>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</si>
  <si>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</si>
  <si>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</si>
  <si>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</si>
  <si>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</si>
  <si>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</si>
  <si>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</si>
  <si>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</si>
  <si>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</si>
  <si>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</si>
  <si>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</si>
  <si>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</si>
  <si>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</si>
  <si>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</si>
  <si>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</si>
  <si>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</si>
  <si>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</si>
  <si>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</si>
  <si>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</si>
  <si>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</si>
  <si>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</si>
  <si>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</si>
  <si>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</si>
  <si>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</si>
  <si>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</si>
  <si>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</si>
  <si>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</si>
  <si>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</si>
  <si>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</si>
  <si>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</si>
  <si>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</si>
  <si>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</si>
  <si>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</si>
  <si>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</si>
  <si>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</si>
  <si>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</si>
  <si>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</si>
  <si>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</si>
  <si>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</si>
  <si>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</si>
  <si>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</si>
  <si>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</si>
  <si>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</si>
  <si>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</si>
  <si>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</si>
  <si>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</si>
  <si>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</si>
  <si>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</si>
  <si>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</si>
  <si>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</si>
  <si>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</si>
  <si>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</si>
  <si>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</si>
  <si>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</si>
  <si>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</si>
  <si>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</si>
  <si>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</si>
  <si>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</si>
  <si>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</si>
  <si>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</si>
  <si>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</si>
  <si>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</si>
  <si>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</si>
  <si>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</si>
  <si>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</si>
  <si>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</si>
  <si>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</si>
  <si>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</si>
  <si>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</si>
  <si>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</si>
  <si>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</si>
  <si>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</si>
  <si>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</si>
  <si>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</si>
  <si>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</si>
  <si>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</si>
  <si>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</si>
  <si>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</si>
  <si>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</si>
  <si>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</si>
  <si>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</si>
  <si>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</si>
  <si>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</si>
  <si>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</si>
  <si>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</si>
  <si>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</si>
  <si>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</si>
  <si>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</si>
  <si>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</si>
  <si>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</si>
  <si>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</si>
  <si>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</si>
  <si>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</si>
  <si>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</si>
  <si>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</si>
  <si>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</si>
  <si>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</si>
  <si>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</si>
  <si>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</si>
  <si>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</si>
  <si>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</si>
  <si>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</si>
  <si>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</si>
  <si>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</si>
  <si>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</si>
  <si>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</si>
  <si>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</si>
  <si>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</si>
  <si>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</si>
  <si>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</si>
  <si>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</si>
  <si>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</si>
  <si>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</si>
  <si>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</si>
  <si>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</si>
  <si>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</si>
  <si>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</si>
  <si>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</si>
  <si>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</si>
  <si>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</si>
  <si>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</si>
  <si>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</si>
  <si>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</si>
  <si>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</si>
  <si>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</si>
  <si>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</si>
  <si>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</si>
  <si>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</si>
  <si>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</si>
  <si>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</si>
  <si>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</si>
  <si>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</si>
  <si>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</si>
  <si>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</si>
  <si>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</si>
  <si>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</si>
  <si>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</si>
  <si>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</si>
  <si>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</si>
  <si>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</si>
  <si>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</si>
  <si>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</si>
  <si>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</si>
  <si>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</si>
  <si>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</si>
  <si>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</si>
  <si>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</si>
  <si>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</si>
  <si>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</si>
  <si>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</si>
  <si>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</si>
  <si>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</si>
  <si>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</si>
  <si>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</si>
  <si>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</si>
  <si>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</si>
  <si>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</si>
  <si>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</si>
  <si>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</si>
  <si>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</si>
  <si>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</si>
  <si>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</si>
  <si>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</si>
  <si>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</si>
  <si>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</si>
  <si>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</si>
  <si>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</si>
  <si>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</si>
  <si>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</si>
  <si>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</si>
  <si>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</si>
  <si>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</si>
  <si>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</si>
  <si>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</si>
  <si>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</si>
  <si>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</si>
  <si>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</si>
  <si>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</si>
  <si>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</si>
  <si>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</si>
  <si>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</si>
  <si>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</si>
  <si>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</si>
  <si>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</si>
  <si>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</si>
  <si>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</si>
  <si>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</si>
  <si>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</si>
  <si>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</si>
  <si>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</si>
  <si>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</si>
  <si>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</si>
  <si>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</si>
  <si>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</si>
  <si>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</si>
  <si>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</si>
  <si>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</si>
  <si>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</si>
  <si>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</si>
  <si>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</si>
  <si>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</si>
  <si>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</si>
  <si>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</si>
  <si>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</si>
  <si>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</si>
  <si>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</si>
  <si>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</si>
  <si>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</si>
  <si>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</si>
  <si>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</si>
  <si>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</si>
  <si>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</si>
  <si>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</si>
  <si>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</si>
  <si>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</si>
  <si>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</si>
  <si>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</si>
  <si>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</si>
  <si>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</si>
  <si>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</si>
  <si>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</si>
  <si>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</si>
  <si>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</si>
  <si>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</si>
  <si>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</si>
  <si>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</si>
  <si>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</si>
  <si>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</si>
  <si>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</si>
  <si>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</si>
  <si>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</si>
  <si>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</si>
  <si>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</si>
  <si>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</si>
  <si>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</si>
  <si>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</si>
  <si>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</si>
  <si>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</si>
  <si>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</si>
  <si>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</si>
  <si>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</si>
  <si>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</si>
  <si>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</si>
  <si>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</si>
  <si>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</si>
  <si>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</si>
  <si>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</si>
  <si>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</si>
  <si>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</si>
  <si>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</si>
  <si>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</si>
  <si>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</si>
  <si>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</si>
  <si>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</si>
  <si>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</si>
  <si>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</si>
  <si>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</si>
  <si>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</si>
  <si>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</si>
  <si>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</si>
  <si>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</si>
  <si>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</si>
  <si>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</si>
  <si>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</si>
  <si>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</si>
  <si>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</si>
  <si>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</si>
  <si>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</si>
  <si>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</si>
  <si>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</si>
  <si>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</si>
  <si>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</si>
  <si>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</si>
  <si>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</si>
  <si>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</si>
  <si>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</si>
  <si>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</si>
  <si>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</si>
  <si>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</si>
  <si>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</si>
  <si>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</si>
  <si>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</si>
  <si>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</si>
  <si>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</si>
  <si>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</si>
  <si>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</si>
  <si>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</si>
  <si>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</si>
  <si>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</si>
  <si>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</si>
  <si>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</si>
  <si>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</si>
  <si>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</si>
  <si>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</si>
  <si>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</si>
  <si>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</si>
  <si>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</si>
  <si>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</si>
  <si>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</si>
  <si>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</si>
  <si>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</si>
  <si>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</si>
  <si>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</si>
  <si>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</si>
  <si>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</si>
  <si>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</si>
  <si>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</si>
  <si>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</si>
  <si>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</si>
  <si>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</si>
  <si>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</si>
  <si>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</si>
  <si>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</si>
  <si>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</si>
  <si>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</si>
  <si>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</si>
  <si>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</si>
  <si>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</si>
  <si>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</si>
  <si>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</si>
  <si>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</si>
  <si>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</si>
  <si>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</si>
  <si>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</si>
  <si>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</si>
  <si>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</si>
  <si>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</si>
  <si>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</si>
  <si>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</si>
  <si>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</si>
  <si>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</si>
  <si>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</si>
  <si>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</si>
  <si>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</si>
  <si>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</si>
  <si>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</si>
  <si>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</si>
  <si>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</si>
  <si>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</si>
  <si>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</si>
  <si>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</si>
  <si>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</si>
  <si>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</si>
  <si>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</si>
  <si>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</si>
  <si>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</si>
  <si>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</si>
  <si>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</si>
  <si>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</si>
  <si>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</si>
  <si>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</si>
  <si>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</si>
  <si>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</si>
  <si>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</si>
  <si>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</si>
  <si>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</si>
  <si>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</si>
  <si>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</si>
  <si>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</si>
  <si>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</si>
  <si>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</si>
  <si>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</si>
  <si>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</si>
  <si>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</si>
  <si>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</si>
  <si>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</si>
  <si>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</si>
  <si>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</si>
  <si>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</si>
  <si>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</si>
  <si>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</si>
  <si>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</si>
  <si>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</si>
  <si>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</si>
  <si>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</si>
  <si>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</si>
  <si>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</si>
  <si>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</si>
  <si>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</si>
  <si>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</si>
  <si>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</si>
  <si>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</si>
  <si>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</si>
  <si>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</si>
  <si>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</si>
  <si>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</si>
  <si>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</si>
  <si>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</si>
  <si>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</si>
  <si>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</si>
  <si>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</si>
  <si>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</si>
  <si>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</si>
  <si>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</si>
  <si>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</si>
  <si>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</si>
  <si>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</si>
  <si>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</si>
  <si>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</si>
  <si>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</si>
  <si>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</si>
  <si>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</si>
  <si>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</si>
  <si>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</si>
  <si>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</si>
  <si>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</si>
  <si>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</si>
  <si>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</si>
  <si>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</si>
  <si>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</si>
  <si>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</si>
  <si>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</si>
  <si>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</si>
  <si>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</si>
  <si>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</si>
  <si>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</si>
  <si>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</si>
  <si>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</si>
  <si>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</si>
  <si>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</si>
  <si>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</si>
  <si>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</si>
  <si>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</si>
  <si>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</si>
  <si>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</si>
  <si>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</si>
  <si>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</si>
  <si>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</si>
  <si>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</si>
  <si>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</si>
  <si>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</si>
  <si>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</si>
  <si>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</si>
  <si>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</si>
  <si>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</si>
  <si>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</si>
  <si>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</si>
  <si>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</si>
  <si>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</si>
  <si>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</si>
  <si>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</si>
  <si>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</si>
  <si>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</si>
  <si>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</si>
  <si>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</si>
  <si>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</si>
  <si>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</si>
  <si>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</si>
  <si>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</si>
  <si>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</si>
  <si>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</si>
  <si>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</si>
  <si>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</si>
  <si>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</si>
  <si>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</si>
  <si>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</si>
  <si>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</si>
  <si>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</si>
  <si>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</si>
  <si>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</si>
  <si>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</si>
  <si>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</si>
  <si>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</si>
  <si>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</si>
  <si>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</si>
  <si>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</si>
  <si>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</si>
  <si>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</si>
  <si>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</si>
  <si>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</si>
  <si>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</si>
  <si>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</si>
  <si>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</si>
  <si>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</si>
  <si>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</si>
  <si>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</si>
  <si>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</si>
  <si>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</si>
  <si>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</si>
  <si>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</si>
  <si>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</si>
  <si>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</si>
  <si>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</si>
  <si>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</si>
  <si>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</si>
  <si>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</si>
  <si>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</si>
  <si>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</si>
  <si>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</si>
  <si>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</si>
  <si>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</si>
  <si>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</si>
  <si>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</si>
  <si>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</si>
  <si>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</si>
  <si>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</si>
  <si>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</si>
  <si>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</si>
  <si>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</si>
  <si>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</si>
  <si>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</si>
  <si>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</si>
  <si>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</si>
  <si>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</si>
  <si>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</si>
  <si>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</si>
  <si>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</si>
  <si>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</si>
  <si>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</si>
  <si>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</si>
  <si>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</si>
  <si>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</si>
  <si>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</si>
  <si>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</si>
  <si>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</si>
  <si>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</si>
  <si>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</si>
  <si>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</si>
  <si>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</si>
  <si>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</si>
  <si>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</si>
  <si>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</si>
  <si>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</si>
  <si>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</si>
  <si>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</si>
  <si>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</si>
  <si>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</si>
  <si>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</si>
  <si>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</si>
  <si>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</si>
  <si>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</si>
  <si>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</si>
  <si>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</si>
  <si>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</si>
  <si>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</si>
  <si>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</si>
  <si>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</si>
  <si>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</si>
  <si>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</si>
  <si>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</si>
  <si>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</si>
  <si>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</si>
  <si>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</si>
  <si>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</si>
  <si>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</si>
  <si>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</si>
  <si>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</si>
  <si>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</si>
  <si>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</si>
  <si>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</si>
  <si>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</si>
  <si>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</si>
  <si>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</si>
  <si>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</si>
  <si>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</si>
  <si>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</si>
  <si>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</si>
  <si>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</si>
  <si>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</si>
  <si>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</si>
  <si>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</si>
  <si>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</si>
  <si>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</si>
  <si>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</si>
  <si>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</si>
  <si>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</si>
  <si>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</si>
  <si>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</si>
  <si>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</si>
  <si>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</si>
  <si>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</si>
  <si>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</si>
  <si>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</si>
  <si>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</si>
  <si>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</si>
  <si>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</si>
  <si>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</si>
  <si>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</si>
  <si>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</si>
  <si>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</si>
  <si>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</si>
  <si>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</si>
  <si>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</si>
  <si>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</si>
  <si>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</si>
  <si>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</si>
  <si>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</si>
  <si>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</si>
  <si>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</si>
  <si>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</si>
  <si>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</si>
  <si>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</si>
  <si>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</si>
  <si>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</si>
  <si>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</si>
  <si>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</si>
  <si>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</si>
  <si>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</si>
  <si>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</si>
  <si>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</si>
  <si>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</si>
  <si>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</si>
  <si>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</si>
  <si>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</si>
  <si>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</si>
  <si>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</si>
  <si>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</si>
  <si>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</si>
  <si>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</si>
  <si>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</si>
  <si>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</si>
  <si>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</si>
  <si>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</si>
  <si>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</si>
  <si>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</si>
  <si>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</si>
  <si>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</si>
  <si>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</si>
  <si>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</si>
  <si>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</si>
  <si>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</si>
  <si>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</si>
  <si>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</si>
  <si>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</si>
  <si>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</si>
  <si>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</si>
  <si>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</si>
  <si>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</si>
  <si>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</si>
  <si>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</si>
  <si>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</si>
  <si>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</si>
  <si>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</si>
  <si>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</si>
  <si>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</si>
  <si>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</si>
  <si>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</si>
  <si>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</si>
  <si>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</si>
  <si>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</si>
  <si>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</si>
  <si>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</si>
  <si>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</si>
  <si>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</si>
  <si>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</si>
  <si>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</si>
  <si>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</si>
  <si>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</si>
  <si>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</si>
  <si>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</si>
  <si>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</si>
  <si>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</si>
  <si>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</si>
  <si>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</si>
  <si>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</si>
  <si>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</si>
  <si>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</si>
  <si>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</si>
  <si>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</si>
  <si>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</si>
  <si>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</si>
  <si>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</si>
  <si>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</si>
  <si>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</si>
  <si>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</si>
  <si>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</si>
  <si>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</si>
  <si>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</si>
  <si>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</si>
  <si>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</si>
  <si>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</si>
  <si>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</si>
  <si>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</si>
  <si>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</si>
  <si>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</si>
  <si>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</si>
  <si>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</si>
  <si>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</si>
  <si>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</si>
  <si>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</si>
  <si>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</si>
  <si>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</si>
  <si>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</si>
  <si>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</si>
  <si>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</si>
  <si>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</si>
  <si>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</si>
  <si>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</si>
  <si>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</si>
  <si>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</si>
  <si>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</si>
  <si>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</si>
  <si>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</si>
  <si>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</si>
  <si>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</si>
  <si>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</si>
  <si>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</si>
  <si>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</si>
  <si>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</si>
  <si>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</si>
  <si>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</si>
  <si>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</si>
  <si>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</si>
  <si>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</si>
  <si>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</si>
  <si>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</si>
  <si>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</si>
  <si>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</si>
  <si>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</si>
  <si>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</si>
  <si>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</si>
  <si>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</si>
  <si>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</si>
  <si>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</si>
  <si>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</si>
  <si>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</si>
  <si>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</si>
  <si>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</si>
  <si>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</si>
  <si>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</si>
  <si>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</si>
  <si>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</si>
  <si>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</si>
  <si>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</si>
  <si>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</si>
  <si>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</si>
  <si>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</si>
  <si>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</si>
  <si>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</si>
  <si>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</si>
  <si>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</si>
  <si>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</si>
  <si>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</si>
  <si>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</si>
  <si>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</si>
  <si>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</si>
  <si>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</si>
  <si>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</si>
  <si>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</si>
  <si>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</si>
  <si>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</si>
  <si>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</si>
  <si>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</si>
  <si>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</si>
  <si>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</si>
  <si>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</si>
  <si>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</si>
  <si>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</si>
  <si>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</si>
  <si>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</si>
  <si>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</si>
  <si>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</si>
  <si>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</si>
  <si>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</si>
  <si>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</si>
  <si>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</si>
  <si>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</si>
  <si>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</si>
  <si>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</si>
  <si>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</si>
  <si>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</si>
  <si>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</si>
  <si>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</si>
  <si>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</si>
  <si>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</si>
  <si>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</si>
  <si>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</si>
  <si>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</si>
  <si>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</si>
  <si>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</si>
  <si>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</si>
  <si>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</si>
  <si>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</si>
  <si>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</si>
  <si>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</si>
  <si>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</si>
  <si>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</si>
  <si>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</si>
  <si>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</si>
  <si>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</si>
  <si>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</si>
  <si>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</si>
  <si>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</si>
  <si>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</si>
  <si>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</si>
  <si>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</si>
  <si>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</si>
  <si>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</si>
  <si>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</si>
  <si>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</si>
  <si>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</si>
  <si>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</si>
  <si>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</si>
  <si>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</si>
  <si>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</si>
  <si>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</si>
  <si>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</si>
  <si>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</si>
  <si>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</si>
  <si>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</si>
  <si>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</si>
  <si>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</si>
  <si>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</si>
  <si>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</si>
  <si>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</si>
  <si>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</si>
  <si>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</si>
  <si>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</si>
  <si>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</si>
  <si>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</si>
  <si>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</si>
  <si>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</si>
  <si>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</si>
  <si>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</si>
  <si>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</si>
  <si>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</si>
  <si>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</si>
  <si>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</si>
  <si>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</si>
  <si>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</si>
  <si>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</si>
  <si>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</si>
  <si>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</si>
  <si>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</si>
  <si>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</si>
  <si>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</si>
  <si>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</si>
  <si>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</si>
  <si>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</si>
  <si>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</si>
  <si>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</si>
  <si>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</si>
  <si>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</si>
  <si>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</si>
  <si>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</si>
  <si>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</si>
  <si>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</si>
  <si>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</si>
  <si>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</si>
  <si>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</si>
  <si>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</si>
  <si>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</si>
  <si>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</si>
  <si>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</si>
  <si>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</si>
  <si>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</si>
  <si>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</si>
  <si>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</si>
  <si>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</si>
  <si>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</si>
  <si>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</si>
  <si>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</si>
  <si>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</si>
  <si>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</si>
  <si>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</si>
  <si>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</si>
  <si>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</si>
  <si>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</si>
  <si>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</si>
  <si>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</si>
  <si>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</si>
  <si>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</si>
  <si>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</si>
  <si>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</si>
  <si>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</si>
  <si>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</si>
  <si>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</si>
  <si>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</si>
  <si>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</si>
  <si>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</si>
  <si>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</si>
  <si>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</si>
  <si>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</si>
  <si>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</si>
  <si>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</si>
  <si>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</si>
  <si>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</si>
  <si>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</si>
  <si>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</si>
  <si>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</si>
  <si>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</si>
  <si>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</si>
  <si>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</si>
  <si>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</si>
  <si>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</si>
  <si>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</si>
  <si>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</si>
  <si>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</si>
  <si>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</si>
  <si>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</si>
  <si>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</si>
  <si>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</si>
  <si>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</si>
  <si>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</si>
  <si>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</si>
  <si>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</si>
  <si>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</si>
  <si>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</si>
  <si>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</si>
  <si>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</si>
  <si>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</si>
  <si>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</si>
  <si>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</si>
  <si>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</si>
  <si>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</si>
  <si>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</si>
  <si>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</si>
  <si>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</si>
  <si>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</si>
  <si>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</si>
  <si>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</si>
  <si>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</si>
  <si>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</si>
  <si>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</si>
  <si>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</si>
  <si>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</si>
  <si>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</si>
  <si>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</si>
  <si>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</si>
  <si>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</si>
  <si>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</si>
  <si>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</si>
  <si>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</si>
  <si>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</si>
  <si>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</si>
  <si>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</si>
  <si>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</si>
  <si>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</si>
  <si>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</si>
  <si>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</si>
  <si>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</si>
  <si>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</si>
  <si>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</si>
  <si>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</si>
  <si>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</si>
  <si>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</si>
  <si>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</si>
  <si>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</si>
  <si>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</si>
  <si>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</si>
  <si>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</si>
  <si>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</si>
  <si>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</si>
  <si>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</si>
  <si>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</si>
  <si>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</si>
  <si>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</si>
  <si>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</si>
  <si>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</si>
  <si>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</si>
  <si>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</si>
  <si>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</si>
  <si>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</si>
  <si>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</si>
  <si>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</si>
  <si>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</si>
  <si>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</si>
  <si>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</si>
  <si>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</si>
  <si>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</si>
  <si>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</si>
  <si>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</si>
  <si>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</si>
  <si>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</si>
  <si>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</si>
  <si>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</si>
  <si>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</si>
  <si>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</si>
  <si>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</si>
  <si>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</si>
  <si>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</si>
  <si>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</si>
  <si>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</si>
  <si>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</si>
  <si>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</si>
  <si>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</si>
  <si>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</si>
  <si>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</si>
  <si>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</si>
  <si>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</si>
  <si>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</si>
  <si>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</si>
  <si>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</si>
  <si>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</si>
  <si>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</si>
  <si>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</si>
  <si>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</si>
  <si>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</si>
  <si>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</si>
  <si>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</si>
  <si>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</si>
  <si>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</si>
  <si>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</si>
  <si>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</si>
  <si>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</si>
  <si>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</si>
  <si>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</si>
  <si>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</si>
  <si>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</si>
  <si>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</si>
  <si>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</si>
  <si>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</si>
  <si>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</si>
  <si>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</si>
  <si>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</si>
  <si>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</si>
  <si>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</si>
  <si>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</si>
  <si>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</si>
  <si>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</si>
  <si>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</si>
  <si>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</si>
  <si>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</si>
  <si>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</si>
  <si>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</si>
  <si>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</si>
  <si>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</si>
  <si>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</si>
  <si>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</si>
  <si>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</si>
  <si>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</si>
  <si>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</si>
  <si>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</si>
  <si>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</si>
  <si>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</si>
  <si>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</si>
  <si>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</si>
  <si>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</si>
  <si>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</si>
  <si>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</si>
  <si>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</si>
  <si>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</si>
  <si>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</si>
  <si>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</si>
  <si>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</si>
  <si>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</si>
  <si>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</si>
  <si>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</si>
  <si>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</si>
  <si>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</si>
  <si>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</si>
  <si>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</si>
  <si>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</si>
  <si>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</si>
  <si>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</si>
  <si>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</si>
  <si>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</si>
  <si>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</si>
  <si>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</si>
  <si>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</si>
  <si>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</si>
  <si>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</si>
  <si>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</si>
  <si>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</si>
  <si>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</si>
  <si>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</si>
  <si>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</si>
  <si>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</si>
  <si>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</si>
  <si>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</si>
  <si>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</si>
  <si>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</si>
  <si>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</si>
  <si>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</si>
  <si>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</si>
  <si>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</si>
  <si>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</si>
  <si>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</si>
  <si>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</si>
  <si>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</si>
  <si>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</si>
  <si>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</si>
  <si>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</si>
  <si>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</si>
  <si>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</si>
  <si>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</si>
  <si>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</si>
  <si>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</si>
  <si>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</si>
  <si>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</si>
  <si>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</si>
  <si>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</si>
  <si>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</si>
  <si>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</si>
  <si>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</si>
  <si>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</si>
  <si>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</si>
  <si>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</si>
  <si>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</si>
  <si>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</si>
  <si>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</si>
  <si>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</si>
  <si>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</si>
  <si>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</si>
  <si>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</si>
  <si>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</si>
  <si>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</si>
  <si>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</si>
  <si>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</si>
  <si>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</si>
  <si>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</si>
  <si>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</si>
  <si>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</si>
  <si>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</si>
  <si>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</si>
  <si>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</si>
  <si>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</si>
  <si>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</si>
  <si>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</si>
  <si>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</si>
  <si>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</si>
  <si>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</si>
  <si>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</si>
  <si>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</si>
  <si>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</si>
  <si>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</si>
  <si>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</si>
  <si>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</si>
  <si>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</si>
  <si>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</si>
  <si>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</si>
  <si>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</si>
  <si>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</si>
  <si>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</si>
  <si>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</si>
  <si>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</si>
  <si>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</si>
  <si>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</si>
  <si>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</si>
  <si>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</si>
  <si>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</si>
  <si>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</si>
  <si>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</si>
  <si>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</si>
  <si>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</si>
  <si>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</si>
  <si>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</si>
  <si>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</si>
  <si>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</si>
  <si>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</si>
  <si>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</si>
  <si>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</si>
  <si>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</si>
  <si>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</si>
  <si>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</si>
  <si>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</si>
  <si>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</si>
  <si>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</si>
  <si>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</si>
  <si>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</si>
  <si>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</si>
  <si>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</si>
  <si>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</si>
  <si>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</si>
  <si>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</si>
  <si>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</si>
  <si>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</si>
  <si>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</si>
  <si>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</si>
  <si>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</si>
  <si>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</si>
  <si>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</si>
  <si>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</si>
  <si>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</si>
  <si>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</si>
  <si>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</si>
  <si>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</si>
  <si>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</si>
  <si>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</si>
  <si>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</si>
  <si>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</si>
  <si>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</si>
  <si>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</si>
  <si>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</si>
  <si>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</si>
  <si>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</si>
  <si>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</si>
  <si>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</si>
  <si>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</si>
  <si>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</si>
  <si>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</si>
  <si>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</si>
  <si>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</si>
  <si>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</si>
  <si>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</si>
  <si>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</si>
  <si>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</si>
  <si>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</si>
  <si>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</si>
  <si>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</si>
  <si>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</si>
  <si>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</si>
  <si>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</si>
  <si>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</si>
  <si>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</si>
  <si>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</si>
  <si>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</si>
  <si>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</si>
  <si>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</si>
  <si>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</si>
  <si>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</si>
  <si>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</si>
  <si>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</si>
  <si>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</si>
  <si>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</si>
  <si>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</si>
  <si>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</si>
  <si>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</si>
  <si>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</si>
  <si>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</si>
  <si>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</si>
  <si>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</si>
  <si>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</si>
  <si>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</si>
  <si>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</si>
  <si>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</si>
  <si>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</si>
  <si>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</si>
  <si>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</si>
  <si>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</si>
  <si>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</si>
  <si>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</si>
  <si>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</si>
  <si>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</si>
  <si>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</si>
  <si>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</si>
  <si>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</si>
  <si>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</si>
  <si>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</si>
  <si>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</si>
  <si>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</si>
  <si>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</si>
  <si>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</si>
  <si>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</si>
  <si>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</si>
  <si>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</si>
  <si>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</si>
  <si>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</si>
  <si>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</si>
  <si>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</si>
  <si>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</si>
  <si>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</si>
  <si>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</si>
  <si>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</si>
  <si>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</si>
  <si>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</si>
  <si>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</si>
  <si>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</si>
  <si>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</si>
  <si>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</si>
  <si>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</si>
  <si>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</si>
  <si>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</si>
  <si>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</si>
  <si>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</si>
  <si>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</si>
  <si>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</si>
  <si>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</si>
  <si>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</si>
  <si>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</si>
  <si>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</si>
  <si>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</si>
  <si>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</si>
  <si>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</si>
  <si>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</si>
  <si>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</si>
  <si>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</si>
  <si>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</si>
  <si>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</si>
  <si>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</si>
  <si>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</si>
  <si>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</si>
  <si>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</si>
  <si>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</si>
  <si>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</si>
  <si>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</si>
  <si>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</si>
  <si>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</si>
  <si>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</si>
  <si>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</si>
  <si>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</si>
  <si>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</si>
  <si>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</si>
  <si>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</si>
  <si>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</si>
  <si>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</si>
  <si>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</si>
  <si>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</si>
  <si>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</si>
  <si>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</si>
  <si>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</si>
  <si>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</si>
  <si>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</si>
  <si>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</si>
  <si>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</si>
  <si>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</si>
  <si>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</si>
  <si>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</si>
  <si>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</si>
  <si>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</si>
  <si>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</si>
  <si>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</si>
  <si>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</si>
  <si>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</si>
  <si>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</si>
  <si>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</si>
  <si>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</si>
  <si>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</si>
  <si>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</si>
  <si>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</si>
  <si>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</si>
  <si>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</si>
  <si>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</si>
  <si>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</si>
  <si>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</si>
  <si>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</si>
  <si>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</si>
  <si>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</si>
  <si>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</si>
  <si>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</si>
  <si>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</si>
  <si>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</si>
  <si>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</si>
  <si>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</si>
  <si>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</si>
  <si>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</si>
  <si>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</si>
  <si>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</si>
  <si>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</si>
  <si>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</si>
  <si>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</si>
  <si>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</si>
  <si>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</si>
  <si>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</si>
  <si>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</si>
  <si>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</si>
  <si>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</si>
  <si>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</si>
  <si>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</si>
  <si>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</si>
  <si>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</si>
  <si>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</si>
  <si>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</si>
  <si>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</si>
  <si>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</si>
  <si>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</si>
  <si>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</si>
  <si>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</si>
  <si>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</si>
  <si>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</si>
  <si>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</si>
  <si>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</si>
  <si>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</si>
  <si>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</si>
  <si>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</si>
  <si>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</si>
  <si>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</si>
  <si>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</si>
  <si>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</si>
  <si>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</si>
  <si>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</si>
  <si>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</si>
  <si>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</si>
  <si>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</si>
  <si>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</si>
  <si>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</si>
  <si>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</si>
  <si>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</si>
  <si>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</si>
  <si>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</si>
  <si>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</si>
  <si>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</si>
  <si>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</si>
  <si>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</si>
  <si>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</si>
  <si>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</si>
  <si>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</si>
  <si>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</si>
  <si>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</si>
  <si>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</si>
  <si>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</si>
  <si>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</si>
  <si>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</si>
  <si>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</si>
  <si>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</si>
  <si>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</si>
  <si>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</si>
  <si>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</si>
  <si>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</si>
  <si>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</si>
  <si>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</si>
  <si>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</si>
  <si>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</si>
  <si>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</si>
  <si>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</si>
  <si>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</si>
  <si>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</si>
  <si>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</si>
  <si>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</si>
  <si>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</si>
  <si>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</si>
  <si>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</si>
  <si>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</si>
  <si>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</si>
  <si>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</si>
  <si>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</si>
  <si>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</si>
  <si>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</si>
  <si>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</si>
  <si>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</si>
  <si>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</si>
  <si>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</si>
  <si>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</si>
  <si>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</si>
  <si>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</si>
  <si>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</si>
  <si>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</si>
  <si>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</si>
  <si>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</si>
  <si>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</si>
  <si>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</si>
  <si>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</si>
  <si>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</si>
  <si>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</si>
  <si>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</si>
  <si>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</si>
  <si>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</si>
  <si>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</si>
  <si>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</si>
  <si>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</si>
  <si>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</si>
  <si>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</si>
  <si>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</si>
  <si>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</si>
  <si>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</si>
  <si>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</si>
  <si>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</si>
  <si>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</si>
  <si>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</si>
  <si>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</si>
  <si>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</si>
  <si>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</si>
  <si>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</si>
  <si>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</si>
  <si>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</si>
  <si>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</si>
  <si>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</si>
  <si>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</si>
  <si>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</si>
  <si>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</si>
  <si>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</si>
  <si>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</si>
  <si>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</si>
  <si>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</si>
  <si>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</si>
  <si>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</si>
  <si>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</si>
  <si>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</si>
  <si>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</si>
  <si>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</si>
  <si>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</si>
  <si>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</si>
  <si>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</si>
  <si>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</si>
  <si>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</si>
  <si>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</si>
  <si>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</si>
  <si>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</si>
  <si>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</si>
  <si>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</si>
  <si>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</si>
  <si>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</si>
  <si>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</si>
  <si>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</si>
  <si>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</si>
  <si>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</si>
  <si>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</si>
  <si>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</si>
  <si>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</si>
  <si>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</si>
  <si>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</si>
  <si>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</si>
  <si>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</si>
  <si>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</si>
  <si>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</si>
  <si>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</si>
  <si>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</si>
  <si>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</si>
  <si>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</si>
  <si>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</si>
  <si>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</si>
  <si>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</si>
  <si>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</si>
  <si>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</si>
  <si>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</si>
  <si>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</si>
  <si>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</si>
  <si>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</si>
  <si>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</si>
  <si>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</si>
  <si>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</si>
  <si>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</si>
  <si>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</si>
  <si>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</si>
  <si>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</si>
  <si>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</si>
  <si>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</si>
  <si>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</si>
  <si>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</si>
  <si>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</si>
  <si>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</si>
  <si>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</si>
  <si>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</si>
  <si>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</si>
  <si>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</si>
  <si>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</si>
  <si>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</si>
  <si>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</si>
  <si>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</si>
  <si>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</si>
  <si>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</si>
  <si>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</si>
  <si>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</si>
  <si>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</si>
  <si>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</si>
  <si>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</si>
  <si>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</si>
  <si>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</si>
  <si>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</si>
  <si>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</si>
  <si>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</si>
  <si>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</si>
  <si>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</si>
  <si>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</si>
  <si>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</si>
  <si>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</si>
  <si>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</si>
  <si>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</si>
  <si>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</si>
  <si>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</si>
  <si>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</si>
  <si>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</si>
  <si>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</si>
  <si>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</si>
  <si>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</si>
  <si>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</si>
  <si>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</si>
  <si>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</si>
  <si>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</si>
  <si>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</si>
  <si>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</si>
  <si>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</si>
  <si>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</si>
  <si>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</si>
  <si>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</si>
  <si>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</si>
  <si>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</si>
  <si>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</si>
  <si>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</si>
  <si>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</si>
  <si>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</si>
  <si>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</si>
  <si>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</si>
  <si>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</si>
  <si>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</si>
  <si>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</si>
  <si>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</si>
  <si>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</si>
  <si>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</si>
  <si>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</si>
  <si>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</si>
  <si>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</si>
  <si>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</si>
  <si>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</si>
  <si>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</si>
  <si>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</si>
  <si>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</si>
  <si>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</si>
  <si>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</si>
  <si>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</si>
  <si>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</si>
  <si>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</si>
  <si>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</si>
  <si>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</si>
  <si>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</si>
  <si>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</si>
  <si>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</si>
  <si>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</si>
  <si>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</si>
  <si>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</si>
  <si>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</si>
  <si>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</si>
  <si>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</si>
  <si>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</si>
  <si>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</si>
  <si>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</si>
  <si>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</si>
  <si>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</si>
  <si>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</si>
  <si>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</si>
  <si>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</si>
  <si>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</si>
  <si>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</si>
  <si>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</si>
  <si>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</si>
  <si>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</si>
  <si>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</si>
  <si>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</si>
  <si>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</si>
  <si>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</si>
  <si>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</si>
  <si>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</si>
  <si>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</si>
  <si>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</si>
  <si>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</si>
  <si>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</si>
  <si>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</si>
  <si>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</si>
  <si>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</si>
  <si>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</si>
  <si>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</si>
  <si>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</si>
  <si>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</si>
  <si>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</si>
  <si>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</si>
  <si>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</si>
  <si>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</si>
  <si>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</si>
  <si>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</si>
  <si>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</si>
  <si>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</si>
  <si>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</si>
  <si>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</si>
  <si>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</si>
  <si>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</si>
  <si>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</si>
  <si>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</si>
  <si>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</si>
  <si>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</si>
  <si>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</si>
  <si>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</si>
  <si>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</si>
  <si>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</si>
  <si>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</si>
  <si>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</si>
  <si>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</si>
  <si>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</si>
  <si>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</si>
  <si>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</si>
  <si>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</si>
  <si>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</si>
  <si>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</si>
  <si>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</si>
  <si>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</si>
  <si>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</si>
  <si>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</si>
  <si>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</si>
  <si>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</si>
  <si>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</si>
  <si>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</si>
  <si>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</si>
  <si>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</si>
  <si>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</si>
  <si>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</si>
  <si>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</si>
  <si>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</si>
  <si>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</si>
  <si>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</si>
  <si>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</si>
  <si>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</si>
  <si>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</si>
  <si>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</si>
  <si>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</si>
  <si>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</si>
  <si>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</si>
  <si>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</si>
  <si>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</si>
  <si>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</si>
  <si>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</si>
  <si>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</si>
  <si>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</si>
  <si>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</si>
  <si>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</si>
  <si>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</si>
  <si>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</si>
  <si>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</si>
  <si>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</si>
  <si>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</si>
  <si>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</si>
  <si>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</si>
  <si>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</si>
  <si>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</si>
  <si>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</si>
  <si>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</si>
  <si>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</si>
  <si>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</si>
  <si>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</si>
  <si>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</si>
  <si>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</si>
  <si>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</si>
  <si>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</si>
  <si>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</si>
  <si>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</si>
  <si>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</si>
  <si>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</si>
  <si>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</si>
  <si>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</si>
  <si>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</si>
  <si>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</si>
  <si>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</si>
  <si>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</si>
  <si>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</si>
  <si>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</si>
  <si>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</si>
  <si>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</si>
  <si>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</si>
  <si>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</si>
  <si>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</si>
  <si>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</si>
  <si>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</si>
  <si>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</si>
  <si>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</si>
  <si>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</si>
  <si>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</si>
  <si>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</si>
  <si>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</si>
  <si>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</si>
  <si>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</si>
  <si>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</si>
  <si>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</si>
  <si>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</si>
  <si>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</si>
  <si>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</si>
  <si>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</si>
  <si>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</si>
  <si>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</si>
  <si>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</si>
  <si>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</si>
  <si>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</si>
  <si>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</si>
  <si>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</si>
  <si>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</si>
  <si>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</si>
  <si>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</si>
  <si>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</si>
  <si>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</si>
  <si>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</si>
  <si>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</si>
  <si>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</si>
  <si>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</si>
  <si>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</si>
  <si>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</si>
  <si>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</si>
  <si>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</si>
  <si>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</si>
  <si>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</si>
  <si>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</si>
  <si>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</si>
  <si>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</si>
  <si>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</si>
  <si>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</si>
  <si>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</si>
  <si>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</si>
  <si>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</si>
  <si>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</si>
  <si>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</si>
  <si>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</si>
  <si>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</si>
  <si>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</si>
  <si>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</si>
  <si>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</si>
  <si>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</si>
  <si>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</si>
  <si>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</si>
  <si>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</si>
  <si>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</si>
  <si>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</si>
  <si>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</si>
  <si>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</si>
  <si>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</si>
  <si>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</si>
  <si>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</si>
  <si>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</si>
  <si>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</si>
  <si>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</si>
  <si>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</si>
  <si>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</si>
  <si>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</si>
  <si>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</si>
  <si>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</si>
  <si>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</si>
  <si>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</si>
  <si>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</si>
  <si>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</si>
  <si>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</si>
  <si>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</si>
  <si>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</si>
  <si>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</si>
  <si>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</si>
  <si>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</si>
  <si>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</si>
  <si>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</si>
  <si>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</si>
  <si>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</si>
  <si>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</si>
  <si>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</si>
  <si>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</si>
  <si>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</si>
  <si>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</si>
  <si>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</si>
  <si>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</si>
  <si>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</si>
  <si>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</si>
  <si>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</si>
  <si>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</si>
  <si>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</si>
  <si>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</si>
  <si>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</si>
  <si>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</si>
  <si>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</si>
  <si>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</si>
  <si>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</si>
  <si>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</si>
  <si>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</si>
  <si>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</si>
  <si>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</si>
  <si>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</si>
  <si>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</si>
  <si>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</si>
  <si>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</si>
  <si>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</si>
  <si>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</si>
  <si>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</si>
  <si>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</si>
  <si>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</si>
  <si>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</si>
  <si>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</si>
  <si>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</si>
  <si>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</si>
  <si>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</si>
  <si>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</si>
  <si>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</si>
  <si>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</si>
  <si>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</si>
  <si>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</si>
  <si>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</si>
  <si>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</si>
  <si>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</si>
  <si>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</si>
  <si>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</si>
  <si>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</si>
  <si>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</si>
  <si>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</si>
  <si>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</si>
  <si>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</si>
  <si>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</si>
  <si>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</si>
  <si>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</si>
  <si>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</si>
  <si>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</si>
  <si>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</si>
  <si>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</si>
  <si>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</si>
  <si>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</si>
  <si>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</si>
  <si>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</si>
  <si>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</si>
  <si>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</si>
  <si>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</si>
  <si>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</si>
  <si>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</si>
  <si>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</si>
  <si>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</si>
  <si>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</si>
  <si>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</si>
  <si>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</si>
  <si>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</si>
  <si>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</si>
  <si>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</si>
  <si>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</si>
  <si>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</si>
  <si>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</si>
  <si>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</si>
  <si>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</si>
  <si>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</si>
  <si>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</si>
  <si>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</si>
  <si>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</si>
  <si>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</si>
  <si>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</si>
  <si>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</si>
  <si>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</si>
  <si>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</si>
  <si>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</si>
  <si>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</si>
  <si>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</si>
  <si>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</si>
  <si>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</si>
  <si>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</si>
  <si>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</si>
  <si>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</si>
  <si>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</si>
  <si>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</si>
  <si>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</si>
  <si>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</si>
  <si>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</si>
  <si>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</si>
  <si>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</si>
  <si>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</si>
  <si>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</si>
  <si>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</si>
  <si>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</si>
  <si>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</si>
  <si>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</si>
  <si>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</si>
  <si>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</si>
  <si>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</si>
  <si>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</si>
  <si>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</si>
  <si>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</si>
  <si>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</si>
  <si>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</si>
  <si>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</si>
  <si>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</si>
  <si>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</si>
  <si>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</si>
  <si>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</si>
  <si>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</si>
  <si>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</si>
  <si>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</si>
  <si>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</si>
  <si>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</si>
  <si>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</si>
  <si>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</si>
  <si>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</si>
  <si>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</si>
  <si>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</si>
  <si>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</si>
  <si>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</si>
  <si>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</si>
  <si>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</si>
  <si>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</si>
  <si>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</si>
  <si>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</si>
  <si>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</si>
  <si>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</si>
  <si>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</si>
  <si>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</si>
  <si>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</si>
  <si>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</si>
  <si>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</si>
  <si>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</si>
  <si>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</si>
  <si>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</si>
  <si>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</si>
  <si>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</si>
  <si>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</si>
  <si>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</si>
  <si>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</si>
  <si>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</si>
  <si>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</si>
  <si>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</si>
  <si>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</si>
  <si>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</si>
  <si>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</si>
  <si>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</si>
  <si>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</si>
  <si>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</si>
  <si>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</si>
  <si>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</si>
  <si>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</si>
  <si>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</si>
  <si>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</si>
  <si>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</si>
  <si>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</si>
  <si>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</si>
  <si>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</si>
  <si>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</si>
  <si>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</si>
  <si>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</si>
  <si>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</si>
  <si>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</si>
  <si>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</si>
  <si>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</si>
  <si>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</si>
  <si>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</si>
  <si>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</si>
  <si>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</si>
  <si>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</si>
  <si>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</si>
  <si>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</si>
  <si>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</si>
  <si>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</si>
  <si>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</si>
  <si>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</si>
  <si>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</si>
  <si>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</si>
  <si>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</si>
  <si>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</si>
  <si>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</si>
  <si>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</si>
  <si>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</si>
  <si>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</si>
  <si>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</si>
  <si>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</si>
  <si>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</si>
  <si>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</si>
  <si>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</si>
  <si>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</si>
  <si>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</si>
  <si>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</si>
  <si>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</si>
  <si>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</si>
  <si>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</si>
  <si>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</si>
  <si>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</si>
  <si>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</si>
  <si>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</si>
  <si>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</si>
  <si>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</si>
  <si>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</si>
  <si>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</si>
  <si>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</si>
  <si>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</si>
  <si>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</si>
  <si>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</si>
  <si>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</si>
  <si>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</si>
  <si>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</si>
  <si>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</si>
  <si>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</si>
  <si>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</si>
  <si>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</si>
  <si>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</si>
  <si>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</si>
  <si>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</si>
  <si>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</si>
  <si>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</si>
  <si>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</si>
  <si>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</si>
  <si>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</si>
  <si>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</si>
  <si>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</si>
  <si>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</si>
  <si>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</si>
  <si>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</si>
  <si>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</si>
  <si>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</si>
  <si>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</si>
  <si>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</si>
  <si>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</si>
  <si>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</si>
  <si>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</si>
  <si>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</si>
  <si>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</si>
  <si>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</si>
  <si>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</si>
  <si>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</si>
  <si>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</si>
  <si>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</si>
  <si>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</si>
  <si>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</si>
  <si>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</si>
  <si>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</si>
  <si>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</si>
  <si>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</si>
  <si>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</si>
  <si>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</si>
  <si>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</si>
  <si>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</si>
  <si>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</si>
  <si>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</si>
  <si>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</si>
  <si>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</si>
  <si>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</si>
  <si>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</si>
  <si>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</si>
  <si>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</si>
  <si>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</si>
  <si>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</si>
  <si>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</si>
  <si>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</si>
  <si>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</si>
  <si>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</si>
  <si>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</si>
  <si>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</si>
  <si>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</si>
  <si>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</si>
  <si>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</si>
  <si>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</si>
  <si>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</si>
  <si>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</si>
  <si>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</si>
  <si>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</si>
  <si>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</si>
  <si>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</si>
  <si>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</si>
  <si>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</si>
  <si>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</si>
  <si>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</si>
  <si>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</si>
  <si>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</si>
  <si>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</si>
  <si>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</si>
  <si>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</si>
  <si>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</si>
  <si>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</si>
  <si>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</si>
  <si>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</si>
  <si>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</si>
  <si>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</si>
  <si>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</si>
  <si>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</si>
  <si>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</si>
  <si>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</si>
  <si>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</si>
  <si>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</si>
  <si>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</si>
  <si>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</si>
  <si>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</si>
  <si>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</si>
  <si>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</si>
  <si>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</si>
  <si>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</si>
  <si>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</si>
  <si>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</si>
  <si>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</si>
  <si>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</si>
  <si>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</si>
  <si>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</si>
  <si>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</si>
  <si>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</si>
  <si>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</si>
  <si>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</si>
  <si>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</si>
  <si>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</si>
  <si>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</si>
  <si>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</si>
  <si>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</si>
  <si>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</si>
  <si>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</si>
  <si>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</si>
  <si>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</si>
  <si>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</si>
  <si>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</si>
  <si>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</si>
  <si>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</si>
  <si>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</si>
  <si>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</si>
  <si>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</si>
  <si>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</si>
  <si>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</si>
  <si>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</si>
  <si>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</si>
  <si>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</si>
  <si>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</si>
  <si>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</si>
  <si>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</si>
  <si>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</si>
  <si>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</si>
  <si>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</si>
  <si>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</si>
  <si>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</si>
  <si>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</si>
  <si>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</si>
  <si>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</si>
  <si>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</si>
  <si>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</si>
  <si>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</si>
  <si>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</si>
  <si>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</si>
  <si>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</si>
  <si>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</si>
  <si>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</si>
  <si>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</si>
  <si>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</si>
  <si>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</si>
  <si>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</si>
  <si>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</si>
  <si>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</si>
  <si>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</si>
  <si>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</si>
  <si>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</si>
  <si>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</si>
  <si>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</si>
  <si>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</si>
  <si>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</si>
  <si>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</si>
  <si>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</si>
  <si>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</si>
  <si>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</si>
  <si>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</si>
  <si>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</si>
  <si>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</si>
  <si>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</si>
  <si>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</si>
  <si>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</si>
  <si>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</si>
  <si>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</si>
  <si>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</si>
  <si>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</si>
  <si>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</si>
  <si>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</si>
  <si>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</si>
  <si>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</si>
  <si>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</si>
  <si>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</si>
  <si>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</si>
  <si>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</si>
  <si>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</si>
  <si>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</si>
  <si>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</si>
  <si>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</si>
  <si>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</si>
  <si>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</si>
  <si>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</si>
  <si>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</si>
  <si>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</si>
  <si>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</si>
  <si>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</si>
  <si>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</si>
  <si>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</si>
  <si>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</si>
  <si>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</si>
  <si>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</si>
  <si>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</si>
  <si>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</si>
  <si>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</si>
  <si>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</si>
  <si>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</si>
  <si>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</si>
  <si>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</si>
  <si>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</si>
  <si>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</si>
  <si>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</si>
  <si>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</si>
  <si>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</si>
  <si>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</si>
  <si>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</si>
  <si>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</si>
  <si>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</si>
  <si>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</si>
  <si>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</si>
  <si>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</si>
  <si>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</si>
  <si>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</si>
  <si>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</si>
  <si>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</si>
  <si>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</si>
  <si>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</si>
  <si>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</si>
  <si>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</si>
  <si>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</si>
  <si>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</si>
  <si>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</si>
  <si>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</si>
  <si>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</si>
  <si>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</si>
  <si>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</si>
  <si>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</si>
  <si>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</si>
  <si>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</si>
  <si>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</si>
  <si>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</si>
  <si>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</si>
  <si>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</si>
  <si>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</si>
  <si>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</si>
  <si>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</si>
  <si>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</si>
  <si>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</si>
  <si>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</si>
  <si>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</si>
  <si>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</si>
  <si>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</si>
  <si>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</si>
  <si>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</si>
  <si>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</si>
  <si>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</si>
  <si>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</si>
  <si>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</si>
  <si>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</si>
  <si>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</si>
  <si>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</si>
  <si>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</si>
  <si>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</si>
  <si>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</si>
  <si>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</si>
  <si>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</si>
  <si>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</si>
  <si>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</si>
  <si>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</si>
  <si>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</si>
  <si>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</si>
  <si>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</si>
  <si>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</si>
  <si>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</si>
  <si>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</si>
  <si>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</si>
  <si>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</si>
  <si>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</si>
  <si>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</si>
  <si>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</si>
  <si>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</si>
  <si>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</si>
  <si>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</si>
  <si>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</si>
  <si>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</si>
  <si>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</si>
  <si>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</si>
  <si>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</si>
  <si>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</si>
  <si>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</si>
  <si>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</si>
  <si>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</si>
  <si>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</si>
  <si>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</si>
  <si>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</si>
  <si>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</si>
  <si>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</si>
  <si>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</si>
  <si>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</si>
  <si>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</si>
  <si>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</si>
  <si>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</si>
  <si>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</si>
  <si>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</si>
  <si>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</si>
  <si>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</si>
  <si>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</si>
  <si>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</si>
  <si>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</si>
  <si>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</si>
  <si>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</si>
  <si>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</si>
  <si>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</si>
  <si>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</si>
  <si>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</si>
  <si>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</si>
  <si>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</si>
  <si>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</si>
  <si>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</si>
  <si>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</si>
  <si>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</si>
  <si>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</si>
  <si>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</si>
  <si>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</si>
  <si>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</si>
  <si>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</si>
  <si>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</si>
  <si>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</si>
  <si>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</si>
  <si>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</si>
  <si>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</si>
  <si>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</si>
  <si>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</si>
  <si>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</si>
  <si>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</si>
  <si>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</si>
  <si>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</si>
  <si>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</si>
  <si>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</si>
  <si>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</si>
  <si>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</si>
  <si>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</si>
  <si>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</si>
  <si>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</si>
  <si>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</si>
  <si>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</si>
  <si>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</si>
  <si>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</si>
  <si>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</si>
  <si>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</si>
  <si>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</si>
  <si>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</si>
  <si>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</si>
  <si>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</si>
  <si>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</si>
  <si>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</si>
  <si>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</si>
  <si>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</si>
  <si>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</si>
  <si>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</si>
  <si>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</si>
  <si>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</si>
  <si>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</si>
  <si>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</si>
  <si>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</si>
  <si>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</si>
  <si>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</si>
  <si>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</si>
  <si>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</si>
  <si>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</si>
  <si>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</si>
  <si>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</si>
  <si>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</si>
  <si>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</si>
  <si>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</si>
  <si>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</si>
  <si>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</si>
  <si>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</si>
  <si>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</si>
  <si>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</si>
  <si>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</si>
  <si>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</si>
  <si>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</si>
  <si>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</si>
  <si>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</si>
  <si>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</si>
  <si>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</si>
  <si>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</si>
  <si>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</si>
  <si>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</si>
  <si>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</si>
  <si>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</si>
  <si>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</si>
  <si>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</si>
  <si>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</si>
  <si>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</si>
  <si>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</si>
  <si>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</si>
  <si>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</si>
  <si>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</si>
  <si>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</si>
  <si>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</si>
  <si>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</si>
  <si>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</si>
  <si>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</si>
  <si>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</si>
  <si>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</si>
  <si>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</si>
  <si>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</si>
  <si>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</si>
  <si>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</si>
  <si>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</si>
  <si>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</si>
  <si>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</si>
  <si>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</si>
  <si>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</si>
  <si>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</si>
  <si>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</si>
  <si>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</si>
  <si>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</si>
  <si>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</si>
  <si>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</si>
  <si>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</si>
  <si>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</si>
  <si>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</si>
  <si>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</si>
  <si>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</si>
  <si>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</si>
  <si>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</si>
  <si>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</si>
  <si>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</si>
  <si>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</si>
  <si>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</si>
  <si>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</si>
  <si>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</si>
  <si>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</si>
  <si>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</si>
  <si>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</si>
  <si>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</si>
  <si>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</si>
  <si>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</si>
  <si>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</si>
  <si>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</si>
  <si>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</si>
  <si>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</si>
  <si>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</si>
  <si>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</si>
  <si>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</si>
  <si>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</si>
  <si>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</si>
  <si>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</si>
  <si>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</si>
  <si>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</si>
  <si>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</si>
  <si>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</si>
  <si>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</si>
  <si>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</si>
  <si>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</si>
  <si>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</si>
  <si>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</si>
  <si>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</si>
  <si>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</si>
  <si>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</si>
  <si>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</si>
  <si>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</si>
  <si>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</si>
  <si>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</si>
  <si>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</si>
  <si>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</si>
  <si>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</si>
  <si>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</si>
  <si>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</si>
  <si>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</si>
  <si>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</si>
  <si>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</si>
  <si>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</si>
  <si>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</si>
  <si>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</si>
  <si>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</si>
  <si>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</si>
  <si>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</si>
  <si>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</si>
  <si>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</si>
  <si>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</si>
  <si>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</si>
  <si>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</si>
  <si>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</si>
  <si>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</si>
  <si>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</si>
  <si>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</si>
  <si>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</si>
  <si>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</si>
  <si>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</si>
  <si>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</si>
  <si>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</si>
  <si>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</si>
  <si>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</si>
  <si>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</si>
  <si>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</si>
  <si>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</si>
  <si>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</si>
  <si>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</si>
  <si>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</si>
  <si>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</si>
  <si>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</si>
  <si>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</si>
  <si>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</si>
  <si>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</si>
  <si>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</si>
  <si>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</si>
  <si>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</si>
  <si>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</si>
  <si>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</si>
  <si>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</si>
  <si>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</si>
  <si>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</si>
  <si>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</si>
  <si>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</si>
  <si>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</si>
  <si>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</si>
  <si>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</si>
  <si>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</si>
  <si>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</si>
  <si>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</si>
  <si>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</si>
  <si>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</si>
  <si>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</si>
  <si>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</si>
  <si>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</si>
  <si>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</si>
  <si>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</si>
  <si>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</si>
  <si>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</si>
  <si>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</si>
  <si>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</si>
  <si>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</si>
  <si>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</si>
  <si>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</si>
  <si>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</si>
  <si>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</si>
  <si>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</si>
  <si>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</si>
  <si>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</si>
  <si>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</si>
  <si>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</si>
  <si>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</si>
  <si>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</si>
  <si>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</si>
  <si>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</si>
  <si>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</si>
  <si>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</si>
  <si>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</si>
  <si>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</si>
  <si>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</si>
  <si>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</si>
  <si>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</si>
  <si>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</si>
  <si>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</si>
  <si>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</si>
  <si>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</si>
  <si>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</si>
  <si>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</si>
  <si>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</si>
  <si>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</si>
  <si>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</si>
  <si>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</si>
  <si>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</si>
  <si>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</si>
  <si>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</si>
  <si>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</si>
  <si>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</si>
  <si>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</si>
  <si>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</si>
  <si>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</si>
  <si>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</si>
  <si>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</si>
  <si>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</si>
  <si>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</si>
  <si>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</si>
  <si>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</si>
  <si>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</si>
  <si>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</si>
  <si>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</si>
  <si>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</si>
  <si>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</si>
  <si>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</si>
  <si>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</si>
  <si>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</si>
  <si>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</si>
  <si>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</si>
  <si>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</si>
  <si>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</si>
  <si>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</si>
  <si>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</si>
  <si>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</si>
  <si>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</si>
  <si>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</si>
  <si>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</si>
  <si>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</si>
  <si>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</si>
  <si>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</si>
  <si>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</si>
  <si>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</si>
  <si>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</si>
  <si>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</si>
  <si>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</si>
  <si>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</si>
  <si>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</si>
  <si>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</si>
  <si>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</si>
  <si>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</si>
  <si>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</si>
  <si>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</si>
  <si>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</si>
  <si>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</si>
  <si>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</si>
  <si>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</si>
  <si>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</si>
  <si>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</si>
  <si>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</si>
  <si>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</si>
  <si>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</si>
  <si>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</si>
  <si>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</si>
  <si>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</si>
  <si>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</si>
  <si>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</si>
  <si>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</si>
  <si>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</si>
  <si>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</si>
  <si>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</si>
  <si>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</si>
  <si>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</si>
  <si>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</si>
  <si>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</si>
  <si>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</si>
  <si>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</si>
  <si>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</si>
  <si>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</si>
  <si>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</si>
  <si>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</si>
  <si>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</si>
  <si>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</si>
  <si>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</si>
  <si>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</si>
  <si>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</si>
  <si>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</si>
  <si>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</si>
  <si>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</si>
  <si>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</si>
  <si>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</si>
  <si>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</si>
  <si>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</si>
  <si>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</si>
  <si>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</si>
  <si>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</si>
  <si>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</si>
  <si>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</si>
  <si>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</si>
  <si>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</si>
  <si>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</si>
  <si>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</si>
  <si>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</si>
  <si>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</si>
  <si>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</si>
  <si>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</si>
  <si>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</si>
  <si>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</si>
  <si>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</si>
  <si>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</si>
  <si>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</si>
  <si>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</si>
  <si>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</si>
  <si>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</si>
  <si>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</si>
  <si>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</si>
  <si>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</si>
  <si>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</si>
  <si>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</si>
  <si>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</si>
  <si>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</si>
  <si>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</si>
  <si>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</si>
  <si>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</si>
  <si>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</si>
  <si>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</si>
  <si>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</si>
  <si>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</si>
  <si>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</si>
  <si>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</si>
  <si>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</si>
  <si>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</si>
  <si>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</si>
  <si>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</si>
  <si>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</si>
  <si>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</si>
  <si>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</si>
  <si>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</si>
  <si>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</si>
  <si>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</si>
  <si>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</si>
  <si>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</si>
  <si>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</si>
  <si>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</si>
  <si>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</si>
  <si>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</si>
  <si>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</si>
  <si>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</si>
  <si>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</si>
  <si>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</si>
  <si>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</si>
  <si>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</si>
  <si>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</si>
  <si>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</si>
  <si>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</si>
  <si>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</si>
  <si>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</si>
  <si>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</si>
  <si>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</si>
  <si>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</si>
  <si>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</si>
  <si>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</si>
  <si>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</si>
  <si>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</si>
  <si>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</si>
  <si>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</si>
  <si>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</si>
  <si>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</si>
  <si>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</si>
  <si>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</si>
  <si>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</si>
  <si>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</si>
  <si>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</si>
  <si>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</si>
  <si>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</si>
  <si>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</si>
  <si>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</si>
  <si>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</si>
  <si>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</si>
  <si>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</si>
  <si>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</si>
  <si>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</si>
  <si>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</si>
  <si>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</si>
  <si>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</si>
  <si>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</si>
  <si>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</si>
  <si>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</si>
  <si>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</si>
  <si>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</si>
  <si>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</si>
  <si>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</si>
  <si>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</si>
  <si>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</si>
  <si>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</si>
  <si>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</si>
  <si>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</si>
  <si>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</si>
  <si>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</si>
  <si>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</si>
  <si>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</si>
  <si>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</si>
  <si>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</si>
  <si>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</si>
  <si>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</si>
  <si>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</si>
  <si>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</si>
  <si>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</si>
  <si>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</si>
  <si>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</si>
  <si>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</si>
  <si>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</si>
  <si>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</si>
  <si>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</si>
  <si>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</si>
  <si>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</si>
  <si>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</si>
  <si>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</si>
  <si>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</si>
  <si>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</si>
  <si>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</si>
  <si>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</si>
  <si>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</si>
  <si>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</si>
  <si>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</si>
  <si>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</si>
  <si>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</si>
  <si>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</si>
  <si>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</si>
  <si>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</si>
  <si>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</si>
  <si>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</si>
  <si>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</si>
  <si>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</si>
  <si>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</si>
  <si>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</si>
  <si>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</si>
  <si>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</si>
  <si>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</si>
  <si>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</si>
  <si>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</si>
  <si>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</si>
  <si>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</si>
  <si>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</si>
  <si>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</si>
  <si>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</si>
  <si>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</si>
  <si>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</si>
  <si>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</si>
  <si>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</si>
  <si>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</si>
  <si>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</si>
  <si>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</si>
  <si>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</si>
  <si>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</si>
  <si>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</si>
  <si>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</si>
  <si>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</si>
  <si>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</si>
  <si>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</si>
  <si>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</si>
  <si>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</si>
  <si>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</si>
  <si>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</si>
  <si>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</si>
  <si>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</si>
  <si>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</si>
  <si>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</si>
  <si>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</si>
  <si>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</si>
  <si>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</si>
  <si>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</si>
  <si>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</si>
  <si>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</si>
  <si>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</si>
  <si>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</si>
  <si>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</si>
  <si>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</si>
  <si>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</si>
  <si>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</si>
  <si>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</si>
  <si>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</si>
  <si>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</si>
  <si>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</si>
  <si>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</si>
  <si>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</si>
  <si>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</si>
  <si>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</si>
  <si>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</si>
  <si>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</si>
  <si>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</si>
  <si>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</si>
  <si>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</si>
  <si>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</si>
  <si>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</si>
  <si>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</si>
  <si>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</si>
  <si>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</si>
  <si>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</si>
  <si>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</si>
  <si>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</si>
  <si>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</si>
  <si>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</si>
  <si>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</si>
  <si>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</si>
  <si>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</si>
  <si>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</si>
  <si>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</si>
  <si>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</si>
  <si>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</si>
  <si>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</si>
  <si>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</si>
  <si>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</si>
  <si>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</si>
  <si>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</si>
  <si>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</si>
  <si>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</si>
  <si>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</si>
  <si>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</si>
  <si>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</si>
  <si>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</si>
  <si>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</si>
  <si>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</si>
  <si>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</si>
  <si>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</si>
  <si>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</si>
  <si>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</si>
  <si>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</si>
  <si>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</si>
  <si>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</si>
  <si>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</si>
  <si>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</si>
  <si>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</si>
  <si>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</si>
  <si>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</si>
  <si>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</si>
  <si>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</si>
  <si>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</si>
  <si>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</si>
  <si>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</si>
  <si>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</si>
  <si>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</si>
  <si>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</si>
  <si>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</si>
  <si>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</si>
  <si>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</si>
  <si>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</si>
  <si>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</si>
  <si>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</si>
  <si>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</si>
  <si>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</si>
  <si>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</si>
  <si>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</si>
  <si>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</si>
  <si>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</si>
  <si>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</si>
  <si>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</si>
  <si>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</si>
  <si>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</si>
  <si>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</si>
  <si>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</si>
  <si>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</si>
  <si>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</si>
  <si>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</si>
  <si>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</si>
  <si>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</si>
  <si>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</si>
  <si>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</si>
  <si>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</si>
  <si>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</si>
  <si>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</si>
  <si>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</si>
  <si>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</si>
  <si>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</si>
  <si>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</si>
  <si>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</si>
  <si>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</si>
  <si>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</si>
  <si>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</si>
  <si>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</si>
  <si>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</si>
  <si>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</si>
  <si>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</si>
  <si>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</si>
  <si>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</si>
  <si>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</si>
  <si>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</si>
  <si>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</si>
  <si>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</si>
  <si>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</si>
  <si>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</si>
  <si>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</si>
  <si>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</si>
  <si>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</si>
  <si>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</si>
  <si>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</si>
  <si>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</si>
  <si>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</si>
  <si>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</si>
  <si>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</si>
  <si>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</si>
  <si>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</si>
  <si>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</si>
  <si>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</si>
  <si>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</si>
  <si>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</si>
  <si>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</si>
  <si>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</si>
  <si>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</si>
  <si>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</si>
  <si>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</si>
  <si>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</si>
  <si>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</si>
  <si>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</si>
  <si>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</si>
  <si>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</si>
  <si>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</si>
  <si>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</si>
  <si>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</si>
  <si>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</si>
  <si>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</si>
  <si>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</si>
  <si>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</si>
  <si>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</si>
  <si>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</si>
  <si>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</si>
  <si>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</si>
  <si>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</si>
  <si>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</si>
  <si>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</si>
  <si>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</si>
  <si>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</si>
  <si>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</si>
  <si>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</si>
  <si>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</si>
  <si>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</si>
  <si>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</si>
  <si>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</si>
  <si>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</si>
  <si>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</si>
  <si>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</si>
  <si>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</si>
  <si>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</si>
  <si>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</si>
  <si>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</si>
  <si>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</si>
  <si>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</si>
  <si>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</si>
  <si>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</si>
  <si>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</si>
  <si>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</si>
  <si>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</si>
  <si>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</si>
  <si>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</si>
  <si>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</si>
  <si>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</si>
  <si>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</si>
  <si>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</si>
  <si>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</si>
  <si>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</si>
  <si>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</si>
  <si>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</si>
  <si>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</si>
  <si>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</si>
  <si>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</si>
  <si>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</si>
  <si>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</si>
  <si>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</si>
  <si>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</si>
  <si>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</si>
  <si>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</si>
  <si>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</si>
  <si>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</si>
  <si>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</si>
  <si>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</si>
  <si>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</si>
  <si>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</si>
  <si>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</si>
  <si>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</si>
  <si>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</si>
  <si>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</si>
  <si>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</si>
  <si>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</si>
  <si>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</si>
  <si>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</si>
  <si>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</si>
  <si>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</si>
  <si>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</si>
  <si>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</si>
  <si>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</si>
  <si>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</si>
  <si>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</si>
  <si>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</si>
  <si>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</si>
  <si>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</si>
  <si>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</si>
  <si>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</si>
  <si>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</si>
  <si>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</si>
  <si>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</si>
  <si>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</si>
  <si>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</si>
  <si>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</si>
  <si>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</si>
  <si>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</si>
  <si>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</si>
  <si>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</si>
  <si>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</si>
  <si>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</si>
  <si>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</si>
  <si>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</si>
  <si>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</si>
  <si>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</si>
  <si>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</si>
  <si>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</si>
  <si>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</si>
  <si>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</si>
  <si>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</si>
  <si>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</si>
  <si>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</si>
  <si>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</si>
  <si>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</si>
  <si>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</si>
  <si>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</si>
  <si>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</si>
  <si>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</si>
  <si>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</si>
  <si>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</si>
  <si>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</si>
  <si>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</si>
  <si>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</si>
  <si>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</si>
  <si>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</si>
  <si>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</si>
  <si>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</si>
  <si>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</si>
  <si>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</si>
  <si>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</si>
  <si>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</si>
  <si>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</si>
  <si>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</si>
  <si>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</si>
  <si>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</si>
  <si>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</si>
  <si>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</si>
  <si>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</si>
  <si>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</si>
  <si>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</si>
  <si>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</si>
  <si>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</si>
  <si>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</si>
  <si>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</si>
  <si>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</si>
  <si>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</si>
  <si>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</si>
  <si>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</si>
  <si>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</si>
  <si>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</si>
  <si>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</si>
  <si>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</si>
  <si>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</si>
  <si>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</si>
  <si>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</si>
  <si>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</si>
  <si>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</si>
  <si>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</si>
  <si>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</si>
  <si>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</si>
  <si>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</si>
  <si>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</si>
  <si>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</si>
  <si>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</si>
  <si>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</si>
  <si>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</si>
  <si>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</si>
  <si>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</si>
  <si>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</si>
  <si>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</si>
  <si>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</si>
  <si>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</si>
  <si>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</si>
  <si>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</si>
  <si>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</si>
  <si>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</si>
  <si>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</si>
  <si>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</si>
  <si>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</si>
  <si>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</si>
  <si>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</si>
  <si>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</si>
  <si>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</si>
  <si>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</si>
  <si>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</si>
  <si>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</si>
  <si>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</si>
  <si>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</si>
  <si>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</si>
  <si>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</si>
  <si>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</si>
  <si>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</si>
  <si>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</si>
  <si>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</si>
  <si>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</si>
  <si>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</si>
  <si>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</si>
  <si>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</si>
  <si>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</si>
  <si>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</si>
  <si>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</si>
  <si>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</si>
  <si>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</si>
  <si>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</si>
  <si>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</si>
  <si>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</si>
  <si>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</si>
  <si>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</si>
  <si>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</si>
  <si>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</si>
  <si>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</si>
  <si>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</si>
  <si>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</si>
  <si>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</si>
  <si>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</si>
  <si>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</si>
  <si>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</si>
  <si>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</si>
  <si>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</si>
  <si>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</si>
  <si>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</si>
  <si>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</si>
  <si>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</si>
  <si>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</si>
  <si>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</si>
  <si>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</si>
  <si>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</si>
  <si>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</si>
  <si>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</si>
  <si>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</si>
  <si>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</si>
  <si>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</si>
  <si>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</si>
  <si>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</si>
  <si>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</si>
  <si>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</si>
  <si>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</si>
  <si>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</si>
  <si>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</si>
  <si>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</si>
  <si>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</si>
  <si>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</si>
  <si>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</si>
  <si>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</si>
  <si>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</si>
  <si>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</si>
  <si>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</si>
  <si>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</si>
  <si>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</si>
  <si>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</si>
  <si>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</si>
  <si>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</si>
  <si>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</si>
  <si>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</si>
  <si>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</si>
  <si>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</si>
  <si>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</si>
  <si>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</si>
  <si>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</si>
  <si>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</si>
  <si>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</si>
  <si>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</si>
  <si>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</si>
  <si>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</si>
  <si>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</si>
  <si>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</si>
  <si>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</si>
  <si>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</si>
  <si>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</si>
  <si>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</si>
  <si>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</si>
  <si>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</si>
  <si>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</si>
  <si>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</si>
  <si>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</si>
  <si>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</si>
  <si>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</si>
  <si>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</si>
  <si>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</si>
  <si>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</si>
  <si>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</si>
  <si>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</si>
  <si>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</si>
  <si>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</si>
  <si>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</si>
  <si>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</si>
  <si>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</si>
  <si>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</si>
  <si>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</si>
  <si>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</si>
  <si>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</si>
  <si>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</si>
  <si>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</si>
  <si>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</si>
  <si>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</si>
  <si>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</si>
  <si>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</si>
  <si>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</si>
  <si>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</si>
  <si>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</si>
  <si>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</si>
  <si>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</si>
  <si>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</si>
  <si>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</si>
  <si>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</si>
  <si>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</si>
  <si>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</si>
  <si>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</si>
  <si>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</si>
  <si>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</si>
  <si>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</si>
  <si>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</si>
  <si>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</si>
  <si>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</si>
  <si>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</si>
  <si>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</si>
  <si>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</si>
  <si>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</si>
  <si>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</si>
  <si>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</si>
  <si>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</si>
  <si>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</si>
  <si>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</si>
  <si>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</si>
  <si>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</si>
  <si>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</si>
  <si>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</si>
  <si>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</si>
  <si>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</si>
  <si>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</si>
  <si>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</si>
  <si>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</si>
  <si>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</si>
  <si>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</si>
  <si>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</si>
  <si>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</si>
  <si>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</si>
  <si>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</si>
  <si>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</si>
  <si>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</si>
  <si>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</si>
  <si>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</si>
  <si>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</si>
  <si>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</si>
  <si>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</si>
  <si>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</si>
  <si>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</si>
  <si>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</si>
  <si>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</si>
  <si>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</si>
  <si>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</si>
  <si>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</si>
  <si>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</si>
  <si>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</si>
  <si>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</si>
  <si>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</si>
  <si>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</si>
  <si>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</si>
  <si>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</si>
  <si>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</si>
  <si>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</si>
  <si>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</si>
  <si>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</si>
  <si>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</si>
  <si>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</si>
  <si>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</si>
  <si>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</si>
  <si>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</si>
  <si>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</si>
  <si>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</si>
  <si>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</si>
  <si>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</si>
  <si>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</si>
  <si>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</si>
  <si>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</si>
  <si>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</si>
  <si>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</si>
  <si>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</si>
  <si>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</si>
  <si>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</si>
  <si>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</si>
  <si>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</si>
  <si>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</si>
  <si>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</si>
  <si>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</si>
  <si>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</si>
  <si>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</si>
  <si>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</si>
  <si>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</si>
  <si>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</si>
  <si>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</si>
  <si>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</si>
  <si>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</si>
  <si>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</si>
  <si>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</si>
  <si>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</si>
  <si>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</si>
  <si>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</si>
  <si>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</si>
  <si>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</si>
  <si>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</si>
  <si>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</si>
  <si>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</si>
  <si>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</si>
  <si>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</si>
  <si>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</si>
  <si>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</si>
  <si>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</si>
  <si>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</si>
  <si>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</si>
  <si>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</si>
  <si>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</si>
  <si>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</si>
  <si>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</si>
  <si>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</si>
  <si>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</si>
  <si>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</si>
  <si>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</si>
  <si>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</si>
  <si>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</si>
  <si>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</si>
  <si>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</si>
  <si>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</si>
  <si>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</si>
  <si>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</si>
  <si>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</si>
  <si>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</si>
  <si>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</si>
  <si>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</si>
  <si>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</si>
  <si>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</si>
  <si>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</si>
  <si>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</si>
  <si>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</si>
  <si>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</si>
  <si>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</si>
  <si>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</si>
  <si>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</si>
  <si>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</si>
  <si>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</si>
  <si>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</si>
  <si>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</si>
  <si>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</si>
  <si>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</si>
  <si>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</si>
  <si>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</si>
  <si>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</si>
  <si>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</si>
  <si>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</si>
  <si>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</si>
  <si>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</si>
  <si>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</si>
  <si>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</si>
  <si>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</si>
  <si>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</si>
  <si>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</si>
  <si>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</si>
  <si>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</si>
  <si>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</si>
  <si>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</si>
  <si>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</si>
  <si>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</si>
  <si>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</si>
  <si>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</si>
  <si>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</si>
  <si>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</si>
  <si>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</si>
  <si>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</si>
  <si>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</si>
  <si>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</si>
  <si>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</si>
  <si>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</si>
  <si>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</si>
  <si>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</si>
  <si>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</si>
  <si>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</si>
  <si>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</si>
  <si>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</si>
  <si>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</si>
  <si>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</si>
  <si>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</si>
  <si>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</si>
  <si>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</si>
  <si>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</si>
  <si>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</si>
  <si>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</si>
  <si>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</si>
  <si>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</si>
  <si>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</si>
  <si>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</si>
  <si>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</si>
  <si>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</si>
  <si>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</si>
  <si>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</si>
  <si>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</si>
  <si>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</si>
  <si>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</si>
  <si>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</si>
  <si>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</si>
  <si>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</si>
  <si>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</si>
  <si>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</si>
  <si>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</si>
  <si>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</si>
  <si>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</si>
  <si>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</si>
  <si>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</si>
  <si>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</si>
  <si>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</si>
  <si>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</si>
  <si>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</si>
  <si>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</si>
  <si>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</si>
  <si>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</si>
  <si>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</si>
  <si>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</si>
  <si>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</si>
  <si>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</si>
  <si>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</si>
  <si>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</si>
  <si>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</si>
  <si>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</si>
  <si>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</si>
  <si>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</si>
  <si>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</si>
  <si>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</si>
  <si>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</si>
  <si>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</si>
  <si>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</si>
  <si>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</si>
  <si>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</si>
  <si>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</si>
  <si>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</si>
  <si>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</si>
  <si>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</si>
  <si>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</si>
  <si>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</si>
  <si>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</si>
  <si>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</si>
  <si>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</si>
  <si>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</si>
  <si>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</si>
  <si>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</si>
  <si>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</si>
  <si>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</si>
  <si>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</si>
  <si>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</si>
  <si>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</si>
  <si>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</si>
  <si>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</si>
  <si>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</si>
  <si>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</si>
  <si>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</si>
  <si>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</si>
  <si>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</si>
  <si>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</si>
  <si>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</si>
  <si>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</si>
  <si>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</si>
  <si>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</si>
  <si>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</si>
  <si>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</si>
  <si>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</si>
  <si>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</si>
  <si>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</si>
  <si>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</si>
  <si>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</si>
  <si>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</si>
  <si>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</si>
  <si>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</si>
  <si>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</si>
  <si>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</si>
  <si>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</si>
  <si>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</si>
  <si>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</si>
  <si>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</si>
  <si>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</si>
  <si>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</si>
  <si>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</si>
  <si>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</si>
  <si>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</si>
  <si>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</si>
  <si>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</si>
  <si>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</si>
  <si>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</si>
  <si>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</si>
  <si>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</si>
  <si>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</si>
  <si>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</si>
  <si>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</si>
  <si>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</si>
  <si>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</si>
  <si>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</si>
  <si>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</si>
  <si>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</si>
  <si>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</si>
  <si>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</si>
  <si>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</si>
  <si>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</si>
  <si>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</si>
  <si>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</si>
  <si>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</si>
  <si>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</si>
  <si>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</si>
  <si>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</si>
  <si>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</si>
  <si>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</si>
  <si>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</si>
  <si>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</si>
  <si>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</si>
  <si>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</si>
  <si>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</si>
  <si>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</si>
  <si>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</si>
  <si>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</si>
  <si>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</si>
  <si>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</si>
  <si>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</si>
  <si>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</si>
  <si>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</si>
  <si>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</si>
  <si>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</si>
  <si>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</si>
  <si>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</si>
  <si>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</si>
  <si>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</si>
  <si>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</si>
  <si>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</si>
  <si>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</si>
  <si>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</si>
  <si>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</si>
  <si>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</si>
  <si>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</si>
  <si>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</si>
  <si>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</si>
  <si>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</si>
  <si>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</si>
  <si>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</si>
  <si>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</si>
  <si>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</si>
  <si>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</si>
  <si>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</si>
  <si>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</si>
  <si>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</si>
  <si>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</si>
  <si>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</si>
  <si>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</si>
  <si>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</si>
  <si>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</si>
  <si>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</si>
  <si>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</si>
  <si>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</si>
  <si>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</si>
  <si>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</si>
  <si>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</si>
  <si>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</si>
  <si>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</si>
  <si>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</si>
  <si>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</si>
  <si>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</si>
  <si>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</si>
  <si>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</si>
  <si>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</si>
  <si>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</si>
  <si>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</si>
  <si>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</si>
  <si>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</si>
  <si>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</si>
  <si>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</si>
  <si>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</si>
  <si>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</si>
  <si>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</si>
  <si>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</si>
  <si>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</si>
  <si>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</si>
  <si>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</si>
  <si>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</si>
  <si>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</si>
  <si>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</si>
  <si>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</si>
  <si>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</si>
  <si>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</si>
  <si>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</si>
  <si>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</si>
  <si>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</si>
  <si>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</si>
  <si>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</si>
  <si>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</si>
  <si>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</si>
  <si>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</si>
  <si>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</si>
  <si>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</si>
  <si>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</si>
  <si>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</si>
  <si>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</si>
  <si>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</si>
  <si>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</si>
  <si>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</si>
  <si>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</si>
  <si>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</si>
  <si>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</si>
  <si>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</si>
  <si>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</si>
  <si>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</si>
  <si>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</si>
  <si>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</si>
  <si>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</si>
  <si>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</si>
  <si>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</si>
  <si>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</si>
  <si>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</si>
  <si>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</si>
  <si>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</si>
  <si>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</si>
  <si>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</si>
  <si>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</si>
  <si>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</si>
  <si>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</si>
  <si>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</si>
  <si>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</si>
  <si>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</si>
  <si>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</si>
  <si>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</si>
  <si>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</si>
  <si>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</si>
  <si>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</si>
  <si>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</si>
  <si>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</si>
  <si>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</si>
  <si>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</si>
  <si>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</si>
  <si>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</si>
  <si>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</si>
  <si>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</si>
  <si>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</si>
  <si>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</si>
  <si>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</si>
  <si>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</si>
  <si>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</si>
  <si>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</si>
  <si>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</si>
  <si>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</si>
  <si>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</si>
  <si>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</si>
  <si>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</si>
  <si>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</si>
  <si>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</si>
  <si>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</si>
  <si>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</si>
  <si>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</si>
  <si>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</si>
  <si>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</si>
  <si>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</si>
  <si>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</si>
  <si>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</si>
  <si>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</si>
  <si>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</si>
  <si>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</si>
  <si>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</si>
  <si>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</si>
  <si>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</si>
  <si>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</si>
  <si>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</si>
  <si>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</si>
  <si>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</si>
  <si>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</si>
  <si>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</si>
  <si>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</si>
  <si>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</si>
  <si>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</si>
  <si>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</si>
  <si>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</si>
  <si>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</si>
  <si>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</si>
  <si>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</si>
  <si>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</si>
  <si>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</si>
  <si>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</si>
  <si>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</si>
  <si>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</si>
  <si>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</si>
  <si>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</si>
  <si>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</si>
  <si>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</si>
  <si>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</si>
  <si>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</si>
  <si>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</si>
  <si>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</si>
  <si>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</si>
  <si>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</si>
  <si>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</si>
  <si>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</si>
  <si>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</si>
  <si>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</si>
  <si>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</si>
  <si>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</si>
  <si>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</si>
  <si>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</si>
  <si>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</si>
  <si>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</si>
  <si>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</si>
  <si>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</si>
  <si>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</si>
  <si>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</si>
  <si>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</si>
  <si>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</si>
  <si>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</si>
  <si>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</si>
  <si>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</si>
  <si>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</si>
  <si>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</si>
  <si>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</si>
  <si>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</si>
  <si>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</si>
  <si>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</si>
  <si>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</si>
  <si>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</si>
  <si>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</si>
  <si>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</si>
  <si>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</si>
  <si>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</si>
  <si>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</si>
  <si>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</si>
  <si>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</si>
  <si>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</si>
  <si>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</si>
  <si>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</si>
  <si>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</si>
  <si>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</si>
  <si>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</si>
  <si>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</si>
  <si>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</si>
  <si>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</si>
  <si>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</si>
  <si>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</si>
  <si>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</si>
  <si>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</si>
  <si>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</si>
  <si>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</si>
  <si>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</si>
  <si>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</si>
  <si>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</si>
  <si>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</si>
  <si>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</si>
  <si>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</si>
  <si>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</si>
  <si>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</si>
  <si>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</si>
  <si>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</si>
  <si>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</si>
  <si>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</si>
  <si>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</si>
  <si>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</si>
  <si>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</si>
  <si>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</si>
  <si>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</si>
  <si>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</si>
  <si>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</si>
  <si>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</si>
  <si>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</si>
  <si>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</si>
  <si>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</si>
  <si>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</si>
  <si>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</si>
  <si>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</si>
  <si>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</si>
  <si>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</si>
  <si>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</si>
  <si>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</si>
  <si>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</si>
  <si>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</si>
  <si>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</si>
  <si>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</si>
  <si>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</si>
  <si>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</si>
  <si>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</si>
  <si>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</si>
  <si>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</si>
  <si>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</si>
  <si>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</si>
  <si>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</si>
  <si>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</si>
  <si>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</si>
  <si>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</si>
  <si>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</si>
  <si>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</si>
  <si>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</si>
  <si>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</si>
  <si>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</si>
  <si>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</si>
  <si>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</si>
  <si>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</si>
  <si>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</si>
  <si>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</si>
  <si>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</si>
  <si>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</si>
  <si>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</si>
  <si>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</si>
  <si>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</si>
  <si>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</si>
  <si>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</si>
  <si>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</si>
  <si>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</si>
  <si>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</si>
  <si>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</si>
  <si>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</si>
  <si>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</si>
  <si>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</si>
  <si>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</si>
  <si>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</si>
  <si>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</si>
  <si>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</si>
  <si>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</si>
  <si>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</si>
  <si>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</si>
  <si>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</si>
  <si>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</si>
  <si>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</si>
  <si>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</si>
  <si>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</si>
  <si>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</si>
  <si>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</si>
  <si>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</si>
  <si>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</si>
  <si>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</si>
  <si>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</si>
  <si>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</si>
  <si>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</si>
  <si>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</si>
  <si>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</si>
  <si>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</si>
  <si>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</si>
  <si>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</si>
  <si>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</si>
  <si>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</si>
  <si>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</si>
  <si>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</si>
  <si>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</si>
  <si>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</si>
  <si>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</si>
  <si>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</si>
  <si>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</si>
  <si>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</si>
  <si>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</si>
  <si>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</si>
  <si>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</si>
  <si>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</si>
  <si>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</si>
  <si>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</si>
  <si>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</si>
  <si>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</si>
  <si>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</si>
  <si>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</si>
  <si>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</si>
  <si>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</si>
  <si>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</si>
  <si>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</si>
  <si>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</si>
  <si>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</si>
  <si>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</si>
  <si>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</si>
  <si>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</si>
  <si>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</si>
  <si>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</si>
  <si>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</si>
  <si>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</si>
  <si>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</si>
  <si>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</si>
  <si>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</si>
  <si>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</si>
  <si>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</si>
  <si>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</si>
  <si>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</si>
  <si>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</si>
  <si>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</si>
  <si>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</si>
  <si>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</si>
  <si>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</si>
  <si>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</si>
  <si>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</si>
  <si>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</si>
  <si>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</si>
  <si>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</si>
  <si>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</si>
  <si>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</si>
  <si>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</si>
  <si>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</si>
  <si>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</si>
  <si>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</si>
  <si>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</si>
  <si>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</si>
  <si>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</si>
  <si>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</si>
  <si>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</si>
  <si>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</si>
  <si>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</si>
  <si>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</si>
  <si>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</si>
  <si>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</si>
  <si>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</si>
  <si>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</si>
  <si>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</si>
  <si>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</si>
  <si>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</si>
  <si>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</si>
  <si>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</si>
  <si>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</si>
  <si>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</si>
  <si>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</si>
  <si>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</si>
  <si>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</si>
  <si>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</si>
  <si>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</si>
  <si>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</si>
  <si>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</si>
  <si>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</si>
  <si>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</si>
  <si>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</si>
  <si>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</si>
  <si>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</si>
  <si>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</si>
  <si>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</si>
  <si>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</si>
  <si>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</si>
  <si>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</si>
  <si>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</si>
  <si>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</si>
  <si>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</si>
  <si>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</si>
  <si>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</si>
  <si>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</si>
  <si>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</si>
  <si>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</si>
  <si>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</si>
  <si>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</si>
  <si>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</si>
  <si>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</si>
  <si>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</si>
  <si>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</si>
  <si>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</si>
  <si>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</si>
  <si>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</si>
  <si>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</si>
  <si>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</si>
  <si>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</si>
  <si>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</si>
  <si>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</si>
  <si>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</si>
  <si>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</si>
  <si>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</si>
  <si>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</si>
  <si>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</si>
  <si>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</si>
  <si>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</si>
  <si>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</si>
  <si>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</si>
  <si>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</si>
  <si>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</si>
  <si>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</si>
  <si>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</si>
  <si>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</si>
  <si>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</si>
  <si>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</si>
  <si>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</si>
  <si>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</si>
  <si>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</si>
  <si>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</si>
  <si>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</si>
  <si>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</si>
  <si>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</si>
  <si>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</si>
  <si>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</si>
  <si>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</si>
  <si>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</si>
  <si>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</si>
  <si>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</si>
  <si>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</si>
  <si>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</si>
  <si>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</si>
  <si>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</si>
  <si>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</si>
  <si>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</si>
  <si>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</si>
  <si>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</si>
  <si>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</si>
  <si>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</si>
  <si>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</si>
  <si>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</si>
  <si>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</si>
  <si>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</si>
  <si>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</si>
  <si>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</si>
  <si>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</si>
  <si>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</si>
  <si>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</si>
  <si>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</si>
  <si>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</si>
  <si>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</si>
  <si>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</si>
  <si>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</si>
  <si>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</si>
  <si>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</si>
  <si>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</si>
  <si>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</si>
  <si>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</si>
  <si>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</si>
  <si>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</si>
  <si>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</si>
  <si>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</si>
  <si>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</si>
  <si>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</si>
  <si>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</si>
  <si>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</si>
  <si>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</si>
  <si>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</si>
  <si>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</si>
  <si>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</si>
  <si>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</si>
  <si>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</si>
  <si>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</si>
  <si>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</si>
  <si>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</si>
  <si>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</si>
  <si>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</si>
  <si>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</si>
  <si>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</si>
  <si>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</si>
  <si>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</si>
  <si>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</si>
  <si>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</si>
  <si>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</si>
  <si>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</si>
  <si>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</si>
  <si>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</si>
  <si>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</si>
  <si>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</si>
  <si>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</si>
  <si>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</si>
  <si>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</si>
  <si>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</si>
  <si>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</si>
  <si>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</si>
  <si>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</si>
  <si>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</si>
  <si>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</si>
  <si>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</si>
  <si>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</si>
  <si>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</si>
  <si>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</si>
  <si>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</si>
  <si>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</si>
  <si>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</si>
  <si>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</si>
  <si>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</si>
  <si>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</si>
  <si>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</si>
  <si>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</si>
  <si>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</si>
  <si>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</si>
  <si>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</si>
  <si>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</si>
  <si>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</si>
  <si>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</si>
  <si>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</si>
  <si>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</si>
  <si>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</si>
  <si>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</si>
  <si>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</si>
  <si>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</si>
  <si>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</si>
  <si>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</si>
  <si>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</si>
  <si>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</si>
  <si>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</si>
  <si>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</si>
  <si>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</si>
  <si>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</si>
  <si>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</si>
  <si>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</si>
  <si>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</si>
  <si>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</si>
  <si>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</si>
  <si>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</si>
  <si>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</si>
  <si>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</si>
  <si>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</si>
  <si>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</si>
  <si>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</si>
  <si>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</si>
  <si>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</si>
  <si>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</si>
  <si>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</si>
  <si>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</si>
  <si>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</si>
  <si>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</si>
  <si>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</si>
  <si>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</si>
  <si>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</si>
  <si>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</si>
  <si>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</si>
  <si>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</si>
  <si>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</si>
  <si>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</si>
  <si>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</si>
  <si>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</si>
  <si>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</si>
  <si>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</si>
  <si>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</si>
  <si>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</si>
  <si>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</si>
  <si>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</si>
  <si>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</si>
  <si>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</si>
  <si>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</si>
  <si>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</si>
  <si>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</si>
  <si>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</si>
  <si>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</si>
  <si>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</si>
  <si>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</si>
  <si>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</si>
  <si>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</si>
  <si>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</si>
  <si>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</si>
  <si>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</si>
  <si>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</si>
  <si>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</si>
  <si>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</si>
  <si>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</si>
  <si>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</si>
  <si>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</si>
  <si>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</si>
  <si>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</si>
  <si>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</si>
  <si>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</si>
  <si>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</si>
  <si>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</si>
  <si>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</si>
  <si>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</si>
  <si>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</si>
  <si>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</si>
  <si>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</si>
  <si>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</si>
  <si>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</si>
  <si>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</si>
  <si>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</si>
  <si>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</si>
  <si>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</si>
  <si>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</si>
  <si>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</si>
  <si>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</si>
  <si>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</si>
  <si>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</si>
  <si>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</si>
  <si>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</si>
  <si>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</si>
  <si>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</si>
  <si>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</si>
  <si>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</si>
  <si>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</si>
  <si>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</si>
  <si>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</si>
  <si>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</si>
  <si>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</si>
  <si>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</si>
  <si>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</si>
  <si>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</si>
  <si>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</si>
  <si>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</si>
  <si>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</si>
  <si>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</si>
  <si>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</si>
  <si>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</si>
  <si>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</si>
  <si>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</si>
  <si>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</si>
  <si>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</si>
  <si>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</si>
  <si>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</si>
  <si>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</si>
  <si>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</si>
  <si>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</si>
  <si>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</si>
  <si>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</si>
  <si>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</si>
  <si>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</si>
  <si>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</si>
  <si>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</si>
  <si>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</si>
  <si>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</si>
  <si>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</si>
  <si>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</si>
  <si>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</si>
  <si>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</si>
  <si>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</si>
  <si>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</si>
  <si>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</si>
  <si>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</si>
  <si>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</si>
  <si>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</si>
  <si>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</si>
  <si>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</si>
  <si>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</si>
  <si>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</si>
  <si>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</si>
  <si>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</si>
  <si>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</si>
  <si>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</si>
  <si>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</si>
  <si>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</si>
  <si>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</si>
  <si>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</si>
  <si>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</si>
  <si>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</si>
  <si>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</si>
  <si>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</si>
  <si>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</si>
  <si>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</si>
  <si>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</si>
  <si>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</si>
  <si>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</si>
  <si>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</si>
  <si>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</si>
  <si>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</si>
  <si>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</si>
  <si>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</si>
  <si>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</si>
  <si>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</si>
  <si>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</si>
  <si>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</si>
  <si>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</si>
  <si>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</si>
  <si>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</si>
  <si>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</si>
  <si>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</si>
  <si>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</si>
  <si>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</si>
  <si>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</si>
  <si>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</si>
  <si>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</si>
  <si>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</si>
  <si>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</si>
  <si>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</si>
  <si>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</si>
  <si>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</si>
  <si>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</si>
  <si>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</si>
  <si>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</si>
  <si>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</si>
  <si>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</si>
  <si>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</si>
  <si>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</si>
  <si>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</si>
  <si>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</si>
  <si>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</si>
  <si>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</si>
  <si>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</si>
  <si>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</si>
  <si>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</si>
  <si>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</si>
  <si>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</si>
  <si>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</si>
  <si>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</si>
  <si>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</si>
  <si>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</si>
  <si>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</si>
  <si>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</si>
  <si>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</si>
  <si>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</si>
  <si>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</si>
  <si>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</si>
  <si>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</si>
  <si>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</si>
  <si>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</si>
  <si>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</si>
  <si>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</si>
  <si>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</si>
  <si>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</si>
  <si>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</si>
  <si>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</si>
  <si>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</si>
  <si>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</si>
  <si>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</si>
  <si>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</si>
  <si>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</si>
  <si>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</si>
  <si>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</si>
  <si>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</si>
  <si>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</si>
  <si>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</si>
  <si>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</si>
  <si>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</si>
  <si>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</si>
  <si>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</si>
  <si>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</si>
  <si>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</si>
  <si>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</si>
  <si>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</si>
  <si>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</si>
  <si>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</si>
  <si>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</si>
  <si>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</si>
  <si>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</si>
  <si>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</si>
  <si>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</si>
  <si>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</si>
  <si>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</si>
  <si>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</si>
  <si>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</si>
  <si>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</si>
  <si>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</si>
  <si>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</si>
  <si>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</si>
  <si>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</si>
  <si>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</si>
  <si>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</si>
  <si>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</si>
  <si>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</si>
  <si>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</si>
  <si>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</si>
  <si>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</si>
  <si>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</si>
  <si>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</si>
  <si>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</si>
  <si>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</si>
  <si>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</si>
  <si>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</si>
  <si>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</si>
  <si>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</si>
  <si>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</si>
  <si>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</si>
  <si>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</si>
  <si>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</si>
  <si>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</si>
  <si>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</si>
  <si>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</si>
  <si>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</si>
  <si>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</si>
  <si>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</si>
  <si>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</si>
  <si>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</si>
  <si>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</si>
  <si>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</si>
  <si>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</si>
  <si>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</si>
  <si>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</si>
  <si>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</si>
  <si>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</si>
  <si>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</si>
  <si>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</si>
  <si>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</si>
  <si>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</si>
  <si>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</si>
  <si>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</si>
  <si>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</si>
  <si>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</si>
  <si>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</si>
  <si>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</si>
  <si>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</si>
  <si>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</si>
  <si>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</si>
  <si>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</si>
  <si>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</si>
  <si>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</si>
  <si>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</si>
  <si>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</si>
  <si>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</si>
  <si>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</si>
  <si>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</si>
  <si>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</si>
  <si>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</si>
  <si>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</si>
  <si>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</si>
  <si>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</si>
  <si>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</si>
  <si>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</si>
  <si>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</si>
  <si>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</si>
  <si>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</si>
  <si>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</si>
  <si>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</si>
  <si>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</si>
  <si>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</si>
  <si>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</si>
  <si>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</si>
  <si>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</si>
  <si>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</si>
  <si>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</si>
  <si>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</si>
  <si>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</si>
  <si>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</si>
  <si>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</si>
  <si>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</si>
  <si>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</si>
  <si>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</si>
  <si>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</si>
  <si>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</si>
  <si>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</si>
  <si>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</si>
  <si>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</si>
  <si>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</si>
  <si>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</si>
  <si>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</si>
  <si>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</si>
  <si>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</si>
  <si>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</si>
  <si>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</si>
  <si>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</si>
  <si>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</si>
  <si>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</si>
  <si>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</si>
  <si>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</si>
  <si>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</si>
  <si>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</si>
  <si>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</si>
  <si>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</si>
  <si>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</si>
  <si>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</si>
  <si>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</si>
  <si>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</si>
  <si>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</si>
  <si>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</si>
  <si>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</si>
  <si>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</si>
  <si>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</si>
  <si>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</si>
  <si>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</si>
  <si>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</si>
  <si>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</si>
  <si>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</si>
  <si>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</si>
  <si>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</si>
  <si>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</si>
  <si>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</si>
  <si>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</si>
  <si>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</si>
  <si>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</si>
  <si>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</si>
  <si>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</si>
  <si>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</si>
  <si>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</si>
  <si>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</si>
  <si>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</si>
  <si>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</si>
  <si>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</si>
  <si>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</si>
  <si>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</si>
  <si>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</si>
  <si>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</si>
  <si>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</si>
  <si>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</si>
  <si>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</si>
  <si>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</si>
  <si>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</si>
  <si>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</si>
  <si>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</si>
  <si>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</si>
  <si>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</si>
  <si>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</si>
  <si>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</si>
  <si>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</si>
  <si>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</si>
  <si>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</si>
  <si>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</si>
  <si>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</si>
  <si>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</si>
  <si>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</si>
  <si>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</si>
  <si>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</si>
  <si>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</si>
  <si>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</si>
  <si>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</si>
  <si>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</si>
  <si>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</si>
  <si>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</si>
  <si>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</si>
  <si>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</si>
  <si>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</si>
  <si>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</si>
  <si>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</si>
  <si>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</si>
  <si>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</si>
  <si>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</si>
  <si>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</si>
  <si>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</si>
  <si>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</si>
  <si>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</si>
  <si>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</si>
  <si>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</si>
  <si>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</si>
  <si>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</si>
  <si>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</si>
  <si>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</si>
  <si>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</si>
  <si>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</si>
  <si>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</si>
  <si>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</si>
  <si>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</si>
  <si>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</si>
  <si>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</si>
  <si>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</si>
  <si>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</si>
  <si>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</si>
  <si>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</si>
  <si>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</si>
  <si>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</si>
  <si>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</si>
  <si>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</si>
  <si>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</si>
  <si>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</si>
  <si>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</si>
  <si>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</si>
  <si>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</si>
  <si>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</si>
  <si>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</si>
  <si>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</si>
  <si>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</si>
  <si>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</si>
  <si>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</si>
  <si>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</si>
  <si>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</si>
  <si>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</si>
  <si>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</si>
  <si>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</si>
  <si>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</si>
  <si>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</si>
  <si>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</si>
  <si>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</si>
  <si>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</si>
  <si>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</si>
  <si>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</si>
  <si>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</si>
  <si>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</si>
  <si>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</si>
  <si>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</si>
  <si>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</si>
  <si>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</si>
  <si>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</si>
  <si>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</si>
  <si>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</si>
  <si>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</si>
  <si>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</si>
  <si>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</si>
  <si>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</si>
  <si>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</si>
  <si>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</si>
  <si>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</si>
  <si>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</si>
  <si>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</si>
  <si>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</si>
  <si>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</si>
  <si>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</si>
  <si>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</si>
  <si>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</si>
  <si>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</si>
  <si>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</si>
  <si>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</si>
  <si>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</si>
  <si>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</si>
  <si>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</si>
  <si>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</si>
  <si>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</si>
  <si>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</si>
  <si>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</si>
  <si>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</si>
  <si>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</si>
  <si>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</si>
  <si>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</si>
  <si>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</si>
  <si>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</si>
  <si>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</si>
  <si>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</si>
  <si>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</si>
  <si>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</si>
  <si>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</si>
  <si>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</si>
  <si>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</si>
  <si>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</si>
  <si>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</si>
  <si>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</si>
  <si>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</si>
  <si>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</si>
  <si>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</si>
  <si>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</si>
  <si>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</si>
  <si>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</si>
  <si>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</si>
  <si>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</si>
  <si>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</si>
  <si>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</si>
  <si>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</si>
  <si>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</si>
  <si>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</si>
  <si>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</si>
  <si>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</si>
  <si>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</si>
  <si>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</si>
  <si>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</si>
  <si>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</si>
  <si>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</si>
  <si>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</si>
  <si>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</si>
  <si>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</si>
  <si>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</si>
  <si>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</si>
  <si>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</si>
  <si>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</si>
  <si>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</si>
  <si>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</si>
  <si>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</si>
  <si>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</si>
  <si>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</si>
  <si>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</si>
  <si>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</si>
  <si>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</si>
  <si>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</si>
  <si>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</si>
  <si>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</si>
  <si>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</si>
  <si>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</si>
  <si>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</si>
  <si>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</si>
  <si>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</si>
  <si>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</si>
  <si>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</si>
  <si>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</si>
  <si>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</si>
  <si>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</si>
  <si>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</si>
  <si>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</si>
  <si>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</si>
  <si>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</si>
  <si>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</si>
  <si>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</si>
  <si>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</si>
  <si>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</si>
  <si>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</si>
  <si>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</si>
  <si>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</si>
  <si>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</si>
  <si>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</si>
  <si>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</si>
  <si>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</si>
  <si>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</si>
  <si>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</si>
  <si>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</si>
  <si>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</si>
  <si>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</si>
  <si>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</si>
  <si>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</si>
  <si>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</si>
  <si>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</si>
  <si>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</si>
  <si>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</si>
  <si>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</si>
  <si>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</si>
  <si>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</si>
  <si>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</si>
  <si>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</si>
  <si>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</si>
  <si>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</si>
  <si>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</si>
  <si>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</si>
  <si>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</si>
  <si>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</si>
  <si>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</si>
  <si>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</si>
  <si>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</si>
  <si>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</si>
  <si>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</si>
  <si>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</si>
  <si>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</si>
  <si>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</si>
  <si>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</si>
  <si>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</si>
  <si>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</si>
  <si>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</si>
  <si>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</si>
  <si>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</si>
  <si>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</si>
  <si>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</si>
  <si>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</si>
  <si>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</si>
  <si>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</si>
  <si>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</si>
  <si>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</si>
  <si>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</si>
  <si>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</si>
  <si>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</si>
  <si>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</si>
  <si>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</si>
  <si>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</si>
  <si>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</si>
  <si>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</si>
  <si>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</si>
  <si>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</si>
  <si>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</si>
  <si>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</si>
  <si>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</si>
  <si>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</si>
  <si>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</si>
  <si>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</si>
  <si>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</si>
  <si>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</si>
  <si>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</si>
  <si>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</si>
  <si>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</si>
  <si>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</si>
  <si>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</si>
  <si>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</si>
  <si>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</si>
  <si>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</si>
  <si>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</si>
  <si>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</si>
  <si>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</si>
  <si>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</si>
  <si>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</si>
  <si>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</si>
  <si>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</si>
  <si>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</si>
  <si>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</si>
  <si>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</si>
  <si>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</si>
  <si>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</si>
  <si>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</si>
  <si>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</si>
  <si>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</si>
  <si>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</si>
  <si>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</si>
  <si>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</si>
  <si>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</si>
  <si>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</si>
  <si>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</si>
  <si>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</si>
  <si>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</si>
  <si>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</si>
  <si>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</si>
  <si>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</si>
  <si>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</si>
  <si>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</si>
  <si>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</si>
  <si>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</si>
  <si>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</si>
  <si>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</si>
  <si>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</si>
  <si>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</si>
  <si>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</si>
  <si>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</si>
  <si>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</si>
  <si>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</si>
  <si>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</si>
  <si>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</si>
  <si>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</si>
  <si>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</si>
  <si>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</si>
  <si>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</si>
  <si>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</si>
  <si>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</si>
  <si>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</si>
  <si>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</si>
  <si>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</si>
  <si>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</si>
  <si>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</si>
  <si>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</si>
  <si>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</si>
  <si>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</si>
  <si>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</si>
  <si>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</si>
  <si>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</si>
  <si>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</si>
  <si>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</si>
  <si>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</si>
  <si>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</si>
  <si>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</si>
  <si>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</si>
  <si>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</si>
  <si>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</si>
  <si>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</si>
  <si>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</si>
  <si>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</si>
  <si>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</si>
  <si>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</si>
  <si>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</si>
  <si>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</si>
  <si>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</si>
  <si>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</si>
  <si>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</si>
  <si>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</si>
  <si>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</si>
  <si>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</si>
  <si>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</si>
  <si>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</si>
  <si>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</si>
  <si>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</si>
  <si>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</si>
  <si>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</si>
  <si>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</si>
  <si>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</si>
  <si>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</si>
  <si>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</si>
  <si>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</si>
  <si>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</si>
  <si>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</si>
  <si>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</si>
  <si>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</si>
  <si>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</si>
  <si>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</si>
  <si>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</si>
  <si>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</si>
  <si>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</si>
  <si>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</si>
  <si>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</si>
  <si>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</si>
  <si>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</si>
  <si>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</si>
  <si>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</si>
  <si>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</si>
  <si>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</si>
  <si>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</si>
  <si>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</si>
  <si>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</si>
  <si>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</si>
  <si>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</si>
  <si>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</si>
  <si>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</si>
  <si>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</si>
  <si>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</si>
  <si>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</si>
  <si>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</si>
  <si>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</si>
  <si>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</si>
  <si>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</si>
  <si>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</si>
  <si>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</si>
  <si>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</si>
  <si>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</si>
  <si>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</si>
  <si>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</si>
  <si>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</si>
  <si>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</si>
  <si>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</si>
  <si>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</si>
  <si>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</si>
  <si>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</si>
  <si>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</si>
  <si>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</si>
  <si>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</si>
  <si>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</si>
  <si>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</si>
  <si>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</si>
  <si>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</si>
  <si>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</si>
  <si>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</si>
  <si>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</si>
  <si>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</si>
  <si>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</si>
  <si>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</si>
  <si>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</si>
  <si>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</si>
  <si>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</si>
  <si>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</si>
  <si>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</si>
  <si>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</si>
  <si>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</si>
  <si>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</si>
  <si>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</si>
  <si>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</si>
  <si>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</si>
  <si>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</si>
  <si>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</si>
  <si>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</si>
  <si>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</si>
  <si>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</si>
  <si>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</si>
  <si>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</si>
  <si>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</si>
  <si>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</si>
  <si>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</si>
  <si>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</si>
  <si>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</si>
  <si>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</si>
  <si>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</si>
  <si>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</si>
  <si>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</si>
  <si>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</si>
  <si>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</si>
  <si>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</si>
  <si>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</si>
  <si>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</si>
  <si>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</si>
  <si>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</si>
  <si>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</si>
  <si>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</si>
  <si>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</si>
  <si>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</si>
  <si>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</si>
  <si>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</si>
  <si>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</si>
  <si>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</si>
  <si>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</si>
  <si>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</si>
  <si>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</si>
  <si>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</si>
  <si>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</si>
  <si>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</si>
  <si>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</si>
  <si>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</si>
  <si>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</si>
  <si>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</si>
  <si>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</si>
  <si>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</si>
  <si>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</si>
  <si>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</si>
  <si>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</si>
  <si>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</si>
  <si>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</si>
  <si>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</si>
  <si>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</si>
  <si>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</si>
  <si>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</si>
  <si>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</si>
  <si>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</si>
  <si>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</si>
  <si>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</si>
  <si>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</si>
  <si>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</si>
  <si>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</si>
  <si>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</si>
  <si>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</si>
  <si>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</si>
  <si>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</si>
  <si>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</si>
  <si>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</si>
  <si>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</si>
  <si>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</si>
  <si>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</si>
  <si>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</si>
  <si>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</si>
  <si>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</si>
  <si>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</si>
  <si>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</si>
  <si>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</si>
  <si>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</si>
  <si>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</si>
  <si>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</si>
  <si>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</si>
  <si>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</si>
  <si>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</si>
  <si>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</si>
  <si>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</si>
  <si>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</si>
  <si>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</si>
  <si>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</si>
  <si>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</si>
  <si>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</si>
  <si>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</si>
  <si>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</si>
  <si>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</si>
  <si>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</si>
  <si>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</si>
  <si>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</si>
  <si>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</si>
  <si>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</si>
  <si>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</si>
  <si>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</si>
  <si>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</si>
  <si>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</si>
  <si>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</si>
  <si>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</si>
  <si>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</si>
  <si>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</si>
  <si>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</si>
  <si>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</si>
  <si>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</si>
  <si>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</si>
  <si>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</si>
  <si>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</si>
  <si>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</si>
  <si>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</si>
  <si>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</si>
  <si>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</si>
  <si>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</si>
  <si>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</si>
  <si>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</si>
  <si>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</si>
  <si>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</si>
  <si>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</si>
  <si>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</si>
  <si>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</si>
  <si>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</si>
  <si>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</si>
  <si>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</si>
  <si>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</si>
  <si>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</si>
  <si>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</si>
  <si>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</si>
  <si>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</si>
  <si>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</si>
  <si>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</si>
  <si>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</si>
  <si>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</si>
  <si>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</si>
  <si>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</si>
  <si>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</si>
  <si>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</si>
  <si>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</si>
  <si>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</si>
  <si>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</si>
  <si>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</si>
  <si>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</si>
  <si>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</si>
  <si>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</si>
  <si>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</si>
  <si>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</si>
  <si>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</si>
  <si>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</si>
  <si>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</si>
  <si>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</si>
  <si>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</si>
  <si>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</si>
  <si>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</si>
  <si>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</si>
  <si>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</si>
  <si>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</si>
  <si>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</si>
  <si>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</si>
  <si>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</si>
  <si>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</si>
  <si>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</si>
  <si>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</si>
  <si>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</si>
  <si>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</si>
  <si>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</si>
  <si>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</si>
  <si>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</si>
  <si>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</si>
  <si>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</si>
  <si>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</si>
  <si>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</si>
  <si>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</si>
  <si>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</si>
  <si>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</si>
  <si>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</si>
  <si>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</si>
  <si>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</si>
  <si>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</si>
  <si>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</si>
  <si>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</si>
  <si>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</si>
  <si>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</si>
  <si>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</si>
  <si>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</si>
  <si>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</si>
  <si>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</si>
  <si>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</si>
  <si>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</si>
  <si>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</si>
  <si>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</si>
  <si>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</si>
  <si>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</si>
  <si>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</si>
  <si>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</si>
  <si>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</si>
  <si>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</si>
  <si>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</si>
  <si>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</si>
  <si>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</si>
  <si>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</si>
  <si>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</si>
  <si>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</si>
  <si>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</si>
  <si>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</si>
  <si>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</si>
  <si>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</si>
  <si>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</si>
  <si>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</si>
  <si>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</si>
  <si>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</si>
  <si>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</si>
  <si>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</si>
  <si>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</si>
  <si>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</si>
  <si>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</si>
  <si>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</si>
  <si>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</si>
  <si>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</si>
  <si>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</si>
  <si>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</si>
  <si>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</si>
  <si>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</si>
  <si>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</si>
  <si>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</si>
  <si>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</si>
  <si>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</si>
  <si>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</si>
  <si>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</si>
  <si>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</si>
  <si>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</si>
  <si>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</si>
  <si>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</si>
  <si>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</si>
  <si>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</si>
  <si>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</si>
  <si>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</si>
  <si>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</si>
  <si>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</si>
  <si>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</si>
  <si>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</si>
  <si>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</si>
  <si>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</si>
  <si>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</si>
  <si>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</si>
  <si>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</si>
  <si>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</si>
  <si>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</si>
  <si>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</si>
  <si>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</si>
  <si>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</si>
  <si>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</si>
  <si>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</si>
  <si>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</si>
  <si>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</si>
  <si>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</si>
  <si>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</si>
  <si>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</si>
  <si>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</si>
  <si>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</si>
  <si>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</si>
  <si>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</si>
  <si>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</si>
  <si>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</si>
  <si>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</si>
  <si>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</si>
  <si>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</si>
  <si>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</si>
  <si>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</si>
  <si>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</si>
  <si>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</si>
  <si>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</si>
  <si>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</si>
  <si>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</si>
  <si>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</si>
  <si>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</si>
  <si>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</si>
  <si>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</si>
  <si>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</si>
  <si>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</si>
  <si>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</si>
  <si>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</si>
  <si>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</si>
  <si>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</si>
  <si>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</si>
  <si>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</si>
  <si>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</si>
  <si>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</si>
  <si>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</si>
  <si>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</si>
  <si>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</si>
  <si>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</si>
  <si>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</si>
  <si>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</si>
  <si>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</si>
  <si>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</si>
  <si>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</si>
  <si>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</si>
  <si>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</si>
  <si>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</si>
  <si>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</si>
  <si>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</si>
  <si>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</si>
  <si>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</si>
  <si>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</si>
  <si>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</si>
  <si>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</si>
  <si>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</si>
  <si>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</si>
  <si>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</si>
  <si>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</si>
  <si>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</si>
  <si>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</si>
  <si>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</si>
  <si>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</si>
  <si>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</si>
  <si>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</si>
  <si>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</si>
  <si>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</si>
  <si>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</si>
  <si>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</si>
  <si>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</si>
  <si>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</si>
  <si>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</si>
  <si>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</si>
  <si>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</si>
  <si>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</si>
  <si>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</si>
  <si>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</si>
  <si>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</si>
  <si>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</si>
  <si>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</si>
  <si>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</si>
  <si>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</si>
  <si>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</si>
  <si>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</si>
  <si>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</si>
  <si>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</si>
  <si>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</si>
  <si>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</si>
  <si>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</si>
  <si>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</si>
  <si>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</si>
  <si>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</si>
  <si>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</si>
  <si>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</si>
  <si>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</si>
  <si>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</si>
  <si>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</si>
  <si>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</si>
  <si>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</si>
  <si>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</si>
  <si>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</si>
  <si>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</si>
  <si>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</si>
  <si>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</si>
  <si>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</si>
  <si>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</si>
  <si>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</si>
  <si>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</si>
  <si>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</si>
  <si>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</si>
  <si>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</si>
  <si>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</si>
  <si>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</si>
  <si>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</si>
  <si>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</si>
  <si>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</si>
  <si>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</si>
  <si>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</si>
  <si>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</si>
  <si>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</si>
  <si>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</si>
  <si>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</si>
  <si>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</si>
  <si>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</si>
  <si>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</si>
  <si>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</si>
  <si>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</si>
  <si>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</si>
  <si>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</si>
  <si>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</si>
  <si>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</si>
  <si>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</si>
  <si>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</si>
  <si>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</si>
  <si>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</si>
  <si>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</si>
  <si>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</si>
  <si>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</si>
  <si>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</si>
  <si>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</si>
  <si>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</si>
  <si>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</si>
  <si>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</si>
  <si>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</si>
  <si>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</si>
  <si>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</si>
  <si>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</si>
  <si>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</si>
  <si>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</si>
  <si>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</si>
  <si>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</si>
  <si>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</si>
  <si>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</si>
  <si>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</si>
  <si>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</si>
  <si>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</si>
  <si>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</si>
  <si>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</si>
  <si>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</si>
  <si>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</si>
  <si>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</si>
  <si>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</si>
  <si>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</si>
  <si>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</si>
  <si>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</si>
  <si>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</si>
  <si>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</si>
  <si>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</si>
  <si>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</si>
  <si>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</si>
  <si>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</si>
  <si>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</si>
  <si>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</si>
  <si>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</si>
  <si>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</si>
  <si>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</si>
  <si>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</si>
  <si>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</si>
  <si>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</si>
  <si>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</si>
  <si>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</si>
  <si>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</si>
  <si>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</si>
  <si>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</si>
  <si>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</si>
  <si>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</si>
  <si>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</si>
  <si>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</si>
  <si>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</si>
  <si>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</si>
  <si>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</si>
  <si>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</si>
  <si>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</si>
  <si>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</si>
  <si>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</si>
  <si>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</si>
  <si>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</si>
  <si>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</si>
  <si>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</si>
  <si>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</si>
  <si>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</si>
  <si>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</si>
  <si>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</si>
  <si>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</si>
  <si>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</si>
  <si>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</si>
  <si>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</si>
  <si>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</si>
  <si>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</si>
  <si>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</si>
  <si>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</si>
  <si>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</si>
  <si>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</si>
  <si>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</si>
  <si>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</si>
  <si>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</si>
  <si>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</si>
  <si>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</si>
  <si>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</si>
  <si>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</si>
  <si>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</si>
  <si>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</si>
  <si>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</si>
  <si>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</si>
  <si>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</si>
  <si>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</si>
  <si>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</si>
  <si>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</si>
  <si>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</si>
  <si>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</si>
  <si>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</si>
  <si>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</si>
  <si>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</si>
  <si>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</si>
  <si>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</si>
  <si>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</si>
  <si>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</si>
  <si>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</si>
  <si>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</si>
  <si>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</si>
  <si>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</si>
  <si>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</si>
  <si>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</si>
  <si>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</si>
  <si>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</si>
  <si>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</si>
  <si>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</si>
  <si>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</si>
  <si>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</si>
  <si>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</si>
  <si>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</si>
  <si>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</si>
  <si>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</si>
  <si>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</si>
  <si>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</si>
  <si>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</si>
  <si>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</si>
  <si>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</si>
  <si>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</si>
  <si>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</si>
  <si>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</si>
  <si>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</si>
  <si>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</si>
  <si>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</si>
  <si>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</si>
  <si>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</si>
  <si>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</si>
  <si>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</si>
  <si>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</si>
  <si>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</si>
  <si>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</si>
  <si>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</si>
  <si>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</si>
  <si>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</si>
  <si>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</si>
  <si>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</si>
  <si>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</si>
  <si>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</si>
  <si>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</si>
  <si>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</si>
  <si>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</si>
  <si>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</si>
  <si>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</si>
  <si>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</si>
  <si>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</si>
  <si>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</si>
  <si>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</si>
  <si>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</si>
  <si>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</si>
  <si>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</si>
  <si>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</si>
  <si>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</si>
  <si>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</si>
  <si>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</si>
  <si>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</si>
  <si>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</si>
  <si>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</si>
  <si>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</si>
  <si>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</si>
  <si>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</si>
  <si>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</si>
  <si>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</si>
  <si>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</si>
  <si>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</si>
  <si>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</si>
  <si>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</si>
  <si>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</si>
  <si>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</si>
  <si>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</si>
  <si>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</si>
  <si>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</si>
  <si>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</si>
  <si>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</si>
  <si>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</si>
  <si>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</si>
  <si>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</si>
  <si>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</si>
  <si>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</si>
  <si>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</si>
  <si>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</si>
  <si>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</si>
  <si>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</si>
  <si>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</si>
  <si>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</si>
  <si>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</si>
  <si>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</si>
  <si>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</si>
  <si>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</si>
  <si>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</si>
  <si>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</si>
  <si>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</si>
  <si>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</si>
  <si>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</si>
  <si>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</si>
  <si>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</si>
  <si>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</si>
  <si>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</si>
  <si>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</si>
  <si>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</si>
  <si>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</si>
  <si>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</si>
  <si>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</si>
  <si>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</si>
  <si>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</si>
  <si>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</si>
  <si>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</si>
  <si>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</si>
  <si>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</si>
  <si>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</si>
  <si>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</si>
  <si>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</si>
  <si>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</si>
  <si>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</si>
  <si>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</si>
  <si>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</si>
  <si>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</si>
  <si>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</si>
  <si>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</si>
  <si>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</si>
  <si>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</si>
  <si>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</si>
  <si>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</si>
  <si>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</si>
  <si>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</si>
  <si>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</si>
  <si>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</si>
  <si>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</si>
  <si>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</si>
  <si>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</si>
  <si>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</si>
  <si>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</si>
  <si>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</si>
  <si>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</si>
  <si>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</si>
  <si>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</si>
  <si>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</si>
  <si>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</si>
  <si>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</si>
  <si>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</si>
  <si>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</si>
  <si>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</si>
  <si>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</si>
  <si>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</si>
  <si>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</si>
  <si>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</si>
  <si>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</si>
  <si>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</si>
  <si>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</si>
  <si>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</si>
  <si>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</si>
  <si>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</si>
  <si>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</si>
  <si>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</si>
  <si>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</si>
  <si>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</si>
  <si>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</si>
  <si>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</si>
  <si>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</si>
  <si>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</si>
  <si>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</si>
  <si>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</si>
  <si>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</si>
  <si>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</si>
  <si>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</si>
  <si>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</si>
  <si>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</si>
  <si>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</si>
  <si>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</si>
  <si>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</si>
  <si>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</si>
  <si>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</si>
  <si>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</si>
  <si>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</si>
  <si>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</si>
  <si>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</si>
  <si>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</si>
  <si>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</si>
  <si>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</si>
  <si>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</si>
  <si>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</si>
  <si>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</si>
  <si>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</si>
  <si>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</si>
  <si>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</si>
  <si>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</si>
  <si>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</si>
  <si>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</si>
  <si>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</si>
  <si>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</si>
  <si>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</si>
  <si>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</si>
  <si>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</si>
  <si>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</si>
  <si>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</si>
  <si>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</si>
  <si>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</si>
  <si>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</si>
  <si>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</si>
  <si>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</si>
  <si>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</si>
  <si>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</si>
  <si>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</si>
  <si>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</si>
  <si>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</si>
  <si>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</si>
  <si>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</si>
  <si>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</si>
  <si>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</si>
  <si>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</si>
  <si>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</si>
  <si>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</si>
  <si>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</si>
  <si>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</si>
  <si>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</si>
  <si>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</si>
  <si>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</si>
  <si>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</si>
  <si>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</si>
  <si>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</si>
  <si>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</si>
  <si>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</si>
  <si>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</si>
  <si>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</si>
  <si>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</si>
  <si>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</si>
  <si>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</si>
  <si>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</si>
  <si>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</si>
  <si>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</si>
  <si>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</si>
  <si>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</si>
  <si>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</si>
  <si>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</si>
  <si>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</si>
  <si>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</si>
  <si>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</si>
  <si>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</si>
  <si>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</si>
  <si>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</si>
  <si>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</si>
  <si>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</si>
  <si>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</si>
  <si>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</si>
  <si>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</si>
  <si>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</si>
  <si>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</si>
  <si>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</si>
  <si>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</si>
  <si>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</si>
  <si>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</si>
  <si>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</si>
  <si>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</si>
  <si>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</si>
  <si>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</si>
  <si>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</si>
  <si>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</si>
  <si>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</si>
  <si>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</si>
  <si>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</si>
  <si>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</si>
  <si>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</si>
  <si>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</si>
  <si>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</si>
  <si>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</si>
  <si>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</si>
  <si>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</si>
  <si>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</si>
  <si>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</si>
  <si>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</si>
  <si>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</si>
  <si>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</si>
  <si>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</si>
  <si>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</si>
  <si>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</si>
  <si>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</si>
  <si>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</si>
  <si>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</si>
  <si>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</si>
  <si>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</si>
  <si>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</si>
  <si>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</si>
  <si>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</si>
  <si>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</si>
  <si>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</si>
  <si>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</si>
  <si>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</si>
  <si>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</si>
  <si>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</si>
  <si>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</si>
  <si>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</si>
  <si>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</si>
  <si>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</si>
  <si>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</si>
  <si>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</si>
  <si>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</si>
  <si>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</si>
  <si>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</si>
  <si>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</si>
  <si>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</si>
  <si>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</si>
  <si>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</si>
  <si>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</si>
  <si>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</si>
  <si>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</si>
  <si>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</si>
  <si>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</si>
  <si>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</si>
  <si>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</si>
  <si>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</si>
  <si>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</si>
  <si>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</si>
  <si>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</si>
  <si>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</si>
  <si>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</si>
  <si>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</si>
  <si>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</si>
  <si>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</si>
  <si>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</si>
  <si>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</si>
  <si>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</si>
  <si>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</si>
  <si>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</si>
  <si>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</si>
  <si>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</si>
  <si>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</si>
  <si>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</si>
  <si>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</si>
  <si>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</si>
  <si>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</si>
  <si>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</si>
  <si>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</si>
  <si>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</si>
  <si>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</si>
  <si>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</si>
  <si>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</si>
  <si>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</si>
  <si>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</si>
  <si>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</si>
  <si>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</si>
  <si>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</si>
  <si>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</si>
  <si>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</si>
  <si>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</si>
  <si>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</si>
  <si>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</si>
  <si>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</si>
  <si>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</si>
  <si>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</si>
  <si>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</si>
  <si>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</si>
  <si>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</si>
  <si>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</si>
  <si>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</si>
  <si>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</si>
  <si>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</si>
  <si>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</si>
  <si>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</si>
  <si>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</si>
  <si>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</si>
  <si>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</si>
  <si>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</si>
  <si>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</si>
  <si>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</si>
  <si>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</si>
  <si>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</si>
  <si>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</si>
  <si>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</si>
  <si>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</si>
  <si>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</si>
  <si>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</si>
  <si>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</si>
  <si>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</si>
  <si>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</si>
  <si>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</si>
  <si>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</si>
  <si>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</si>
  <si>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</si>
  <si>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</si>
  <si>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</si>
  <si>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</si>
  <si>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</si>
  <si>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</si>
  <si>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</si>
  <si>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</si>
  <si>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</si>
  <si>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</si>
  <si>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</si>
  <si>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</si>
  <si>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</si>
  <si>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</si>
  <si>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</si>
  <si>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</si>
  <si>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</si>
  <si>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</si>
  <si>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</si>
  <si>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</si>
  <si>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</si>
  <si>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</si>
  <si>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</si>
  <si>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</si>
  <si>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</si>
  <si>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</si>
  <si>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</si>
  <si>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</si>
  <si>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</si>
  <si>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</si>
  <si>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</si>
  <si>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</si>
  <si>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</si>
  <si>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</si>
  <si>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</si>
  <si>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</si>
  <si>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</si>
  <si>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</si>
  <si>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</si>
  <si>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</si>
  <si>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</si>
  <si>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</si>
  <si>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</si>
  <si>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</si>
  <si>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</si>
  <si>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</si>
  <si>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</si>
  <si>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</si>
  <si>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</si>
  <si>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</si>
  <si>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</si>
  <si>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</si>
  <si>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</si>
  <si>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</si>
  <si>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</si>
  <si>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</si>
  <si>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</si>
  <si>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</si>
  <si>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</si>
  <si>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</si>
  <si>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</si>
  <si>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</si>
  <si>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</si>
  <si>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</si>
  <si>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</si>
  <si>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</si>
  <si>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</si>
  <si>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</si>
  <si>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</si>
  <si>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</si>
  <si>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</si>
  <si>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</si>
  <si>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</si>
  <si>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</si>
  <si>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</si>
  <si>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</si>
  <si>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</si>
  <si>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</si>
  <si>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</si>
  <si>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</si>
  <si>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</si>
  <si>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</si>
  <si>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</si>
  <si>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</si>
  <si>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</si>
  <si>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</si>
  <si>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</si>
  <si>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</si>
  <si>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</si>
  <si>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</si>
  <si>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</si>
  <si>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</si>
  <si>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</si>
  <si>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</si>
  <si>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</si>
  <si>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</si>
  <si>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</si>
  <si>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</si>
  <si>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</si>
  <si>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</si>
  <si>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</si>
  <si>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</si>
  <si>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</si>
  <si>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</si>
  <si>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</si>
  <si>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</si>
  <si>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</si>
  <si>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</si>
  <si>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</si>
  <si>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</si>
  <si>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</si>
  <si>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</si>
  <si>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</si>
  <si>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</si>
  <si>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</si>
  <si>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</si>
  <si>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</si>
  <si>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</si>
  <si>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</si>
  <si>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</si>
  <si>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</si>
  <si>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</si>
  <si>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</si>
  <si>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</si>
  <si>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</si>
  <si>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</si>
  <si>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</si>
  <si>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</si>
  <si>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</si>
  <si>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</si>
  <si>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</si>
  <si>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</si>
  <si>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</si>
  <si>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</si>
  <si>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</si>
  <si>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</si>
  <si>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</si>
  <si>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</si>
  <si>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</si>
  <si>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</si>
  <si>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</si>
  <si>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</si>
  <si>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</si>
  <si>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</si>
  <si>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</si>
  <si>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</si>
  <si>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</si>
  <si>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</si>
  <si>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</si>
  <si>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</si>
  <si>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</si>
  <si>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</si>
  <si>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</si>
  <si>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</si>
  <si>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</si>
  <si>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</si>
  <si>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</si>
  <si>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</si>
  <si>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</si>
  <si>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</si>
  <si>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</si>
  <si>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</si>
  <si>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</si>
  <si>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</si>
  <si>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</si>
  <si>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</si>
  <si>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</si>
  <si>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</si>
  <si>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</si>
  <si>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</si>
  <si>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</si>
  <si>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</si>
  <si>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</si>
  <si>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</si>
  <si>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</si>
  <si>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</si>
  <si>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</si>
  <si>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</si>
  <si>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</si>
  <si>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</si>
  <si>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</si>
  <si>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</si>
  <si>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</si>
  <si>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</si>
  <si>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</si>
  <si>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</si>
  <si>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</si>
  <si>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</si>
  <si>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</si>
  <si>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</si>
  <si>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</si>
  <si>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</si>
  <si>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</si>
  <si>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</si>
  <si>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</si>
  <si>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</si>
  <si>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</si>
  <si>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</si>
  <si>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</si>
  <si>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</si>
  <si>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</si>
  <si>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</si>
  <si>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</si>
  <si>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</si>
  <si>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</si>
  <si>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</si>
  <si>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</si>
  <si>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</si>
  <si>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</si>
  <si>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</si>
  <si>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</si>
  <si>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</si>
  <si>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</si>
  <si>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</si>
  <si>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</si>
  <si>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</si>
  <si>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</si>
  <si>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</si>
  <si>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</si>
  <si>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</si>
  <si>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</si>
  <si>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</si>
  <si>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</si>
  <si>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</si>
  <si>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</si>
  <si>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</si>
  <si>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</si>
  <si>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</si>
  <si>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</si>
  <si>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</si>
  <si>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</si>
  <si>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</si>
  <si>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</si>
  <si>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</si>
  <si>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</si>
  <si>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</si>
  <si>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</si>
  <si>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</si>
  <si>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</si>
  <si>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</si>
  <si>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</si>
  <si>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</si>
  <si>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</si>
  <si>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</si>
  <si>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</si>
  <si>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</si>
  <si>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</si>
  <si>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</si>
  <si>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</si>
  <si>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</si>
  <si>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</si>
  <si>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</si>
  <si>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</si>
  <si>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</si>
  <si>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</si>
  <si>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</si>
  <si>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</si>
  <si>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</si>
  <si>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</si>
  <si>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</si>
  <si>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</si>
  <si>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</si>
  <si>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</si>
  <si>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</si>
  <si>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</si>
  <si>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</si>
  <si>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</si>
  <si>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</si>
  <si>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</si>
  <si>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</si>
  <si>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</si>
  <si>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</si>
  <si>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</si>
  <si>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</si>
  <si>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</si>
  <si>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</si>
  <si>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</si>
  <si>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</si>
  <si>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</si>
  <si>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</si>
  <si>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</si>
  <si>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</si>
  <si>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</si>
  <si>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</si>
  <si>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</si>
  <si>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</si>
  <si>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</si>
  <si>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</si>
  <si>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</si>
  <si>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</si>
  <si>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</si>
  <si>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</si>
  <si>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</si>
  <si>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</si>
  <si>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</si>
  <si>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</si>
  <si>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</si>
  <si>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</si>
  <si>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</si>
  <si>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</si>
  <si>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</si>
  <si>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</si>
  <si>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</si>
  <si>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</si>
  <si>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</si>
  <si>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</si>
  <si>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</si>
  <si>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</si>
  <si>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</si>
  <si>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</si>
  <si>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</si>
  <si>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</si>
  <si>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</si>
  <si>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</si>
  <si>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</si>
  <si>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</si>
  <si>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</si>
  <si>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</si>
  <si>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</si>
  <si>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</si>
  <si>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</si>
  <si>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</si>
  <si>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</si>
  <si>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</si>
  <si>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</si>
  <si>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</si>
  <si>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</si>
  <si>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</si>
  <si>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</si>
  <si>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</si>
  <si>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</si>
  <si>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</si>
  <si>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</si>
  <si>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</si>
  <si>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</si>
  <si>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</si>
  <si>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</si>
  <si>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</si>
  <si>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</si>
  <si>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</si>
  <si>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</si>
  <si>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</si>
  <si>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</si>
  <si>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</si>
  <si>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</si>
  <si>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</si>
  <si>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</si>
  <si>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</si>
  <si>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</si>
  <si>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</si>
  <si>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</si>
  <si>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</si>
  <si>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</si>
  <si>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</si>
  <si>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</si>
  <si>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</si>
  <si>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</si>
  <si>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</si>
  <si>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</si>
  <si>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</si>
  <si>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</si>
  <si>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</si>
  <si>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</si>
  <si>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</si>
  <si>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</si>
  <si>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</si>
  <si>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</si>
  <si>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</si>
  <si>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</si>
  <si>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</si>
  <si>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</si>
  <si>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</si>
  <si>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</si>
  <si>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</si>
  <si>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</si>
  <si>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</si>
  <si>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</si>
  <si>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</si>
  <si>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</si>
  <si>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</si>
  <si>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</si>
  <si>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</si>
  <si>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</si>
  <si>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</si>
  <si>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</si>
  <si>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</si>
  <si>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</si>
  <si>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</si>
  <si>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</si>
  <si>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</si>
  <si>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</si>
  <si>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</si>
  <si>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</si>
  <si>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</si>
  <si>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</si>
  <si>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</si>
  <si>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</si>
  <si>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</si>
  <si>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</si>
  <si>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</si>
  <si>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</si>
  <si>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</si>
  <si>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</si>
  <si>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</si>
  <si>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</si>
  <si>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</si>
  <si>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</si>
  <si>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</si>
  <si>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</si>
  <si>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</si>
  <si>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</si>
  <si>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</si>
  <si>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</si>
  <si>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</si>
  <si>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</si>
  <si>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</si>
  <si>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</si>
  <si>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</si>
  <si>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</si>
  <si>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</si>
  <si>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</si>
  <si>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</si>
  <si>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</si>
  <si>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</si>
  <si>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</si>
  <si>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</si>
  <si>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</si>
  <si>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</si>
  <si>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</si>
  <si>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</si>
  <si>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</si>
  <si>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</si>
  <si>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</si>
  <si>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</si>
  <si>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</si>
  <si>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</si>
  <si>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</si>
  <si>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</si>
  <si>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</si>
  <si>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</si>
  <si>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</si>
  <si>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</si>
  <si>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</si>
  <si>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</si>
  <si>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</si>
  <si>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</si>
  <si>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</si>
  <si>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</si>
  <si>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</si>
  <si>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</si>
  <si>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</si>
  <si>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</si>
  <si>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</si>
  <si>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</si>
  <si>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</si>
  <si>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</si>
  <si>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</si>
  <si>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</si>
  <si>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</si>
  <si>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</si>
  <si>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</si>
  <si>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</si>
  <si>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</si>
  <si>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</si>
  <si>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</si>
  <si>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</si>
  <si>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</si>
  <si>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</si>
  <si>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</si>
  <si>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</si>
  <si>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</si>
  <si>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</si>
  <si>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</si>
  <si>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</si>
  <si>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</si>
  <si>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</si>
  <si>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</si>
  <si>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</si>
  <si>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</si>
  <si>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</si>
  <si>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</si>
  <si>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</si>
  <si>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</si>
  <si>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</si>
  <si>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</si>
  <si>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</si>
  <si>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</si>
  <si>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</si>
  <si>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</si>
  <si>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</si>
  <si>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</si>
  <si>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</si>
  <si>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</si>
  <si>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</si>
  <si>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</si>
  <si>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</si>
  <si>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</si>
  <si>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</si>
  <si>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</si>
  <si>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</si>
  <si>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</si>
  <si>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</si>
  <si>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</si>
  <si>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</si>
  <si>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</si>
  <si>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</si>
  <si>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</si>
  <si>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</si>
  <si>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</si>
  <si>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</si>
  <si>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</si>
  <si>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</si>
  <si>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</si>
  <si>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</si>
  <si>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</si>
  <si>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</si>
  <si>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</si>
  <si>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</si>
  <si>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</si>
  <si>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</si>
  <si>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</si>
  <si>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</si>
  <si>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</si>
  <si>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</si>
  <si>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</si>
  <si>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</si>
  <si>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</si>
  <si>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</si>
  <si>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</si>
  <si>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</si>
  <si>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</si>
  <si>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</si>
  <si>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</si>
  <si>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</si>
  <si>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</si>
  <si>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</si>
  <si>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</si>
  <si>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</si>
  <si>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</si>
  <si>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</si>
  <si>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</si>
  <si>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</si>
  <si>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</si>
  <si>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</si>
  <si>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</si>
  <si>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</si>
  <si>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</si>
  <si>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</si>
  <si>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</si>
  <si>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</si>
  <si>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</si>
  <si>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</si>
  <si>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</si>
  <si>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</si>
  <si>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</si>
  <si>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</si>
  <si>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</si>
  <si>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</si>
  <si>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</si>
  <si>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</si>
  <si>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</si>
  <si>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</si>
  <si>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</si>
  <si>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</si>
  <si>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</si>
  <si>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</si>
  <si>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</si>
  <si>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</si>
  <si>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</si>
  <si>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</si>
  <si>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</si>
  <si>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</si>
  <si>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</si>
  <si>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</si>
  <si>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</si>
  <si>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</si>
  <si>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</si>
  <si>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</si>
  <si>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</si>
  <si>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</si>
  <si>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</si>
  <si>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</si>
  <si>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</si>
  <si>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</si>
  <si>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</si>
  <si>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</si>
  <si>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</si>
  <si>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</si>
  <si>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</si>
  <si>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</si>
  <si>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</si>
  <si>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</si>
  <si>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</si>
  <si>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</si>
  <si>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</si>
  <si>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</si>
  <si>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</si>
  <si>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</si>
  <si>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</si>
  <si>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</si>
  <si>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</si>
  <si>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</si>
  <si>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</si>
  <si>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</si>
  <si>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</si>
  <si>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</si>
  <si>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</si>
  <si>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</si>
  <si>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</si>
  <si>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</si>
  <si>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</si>
  <si>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</si>
  <si>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</si>
  <si>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</si>
  <si>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</si>
  <si>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</si>
  <si>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</si>
  <si>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</si>
  <si>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</si>
  <si>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</si>
  <si>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</si>
  <si>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</si>
  <si>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</si>
  <si>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</si>
  <si>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</si>
  <si>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</si>
  <si>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</si>
  <si>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</si>
  <si>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</si>
  <si>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</si>
  <si>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</si>
  <si>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</si>
  <si>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</si>
  <si>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</si>
  <si>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</si>
  <si>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</si>
  <si>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</si>
  <si>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</si>
  <si>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</si>
  <si>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</si>
  <si>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</si>
  <si>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</si>
  <si>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</si>
  <si>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</si>
  <si>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</si>
  <si>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</si>
  <si>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</si>
  <si>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</si>
  <si>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</si>
  <si>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</si>
  <si>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</si>
  <si>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</si>
  <si>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</si>
  <si>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</si>
  <si>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</si>
  <si>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</si>
  <si>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</si>
  <si>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</si>
  <si>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</si>
  <si>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</si>
  <si>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</si>
  <si>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</si>
  <si>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</si>
  <si>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</si>
  <si>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</si>
  <si>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</si>
  <si>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</si>
  <si>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</si>
  <si>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</si>
  <si>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</si>
  <si>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</si>
  <si>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</si>
  <si>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</si>
  <si>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</si>
  <si>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</si>
  <si>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</si>
  <si>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</si>
  <si>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</si>
  <si>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</si>
  <si>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</si>
  <si>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</si>
  <si>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</si>
  <si>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</si>
  <si>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</si>
  <si>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</si>
  <si>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</si>
  <si>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</si>
  <si>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</si>
  <si>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</si>
  <si>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</si>
  <si>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</si>
  <si>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</si>
  <si>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</si>
  <si>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</si>
  <si>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</si>
  <si>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</si>
  <si>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</si>
  <si>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</si>
  <si>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</si>
  <si>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</si>
  <si>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</si>
  <si>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</si>
  <si>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</si>
  <si>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</si>
  <si>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</si>
  <si>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</si>
  <si>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</si>
  <si>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</si>
  <si>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</si>
  <si>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</si>
  <si>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</si>
  <si>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</si>
  <si>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</si>
  <si>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</si>
  <si>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</si>
  <si>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</si>
  <si>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</si>
  <si>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</si>
  <si>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</si>
  <si>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</si>
  <si>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</si>
  <si>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</si>
  <si>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</si>
  <si>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</si>
  <si>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</si>
  <si>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</si>
  <si>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</si>
  <si>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</si>
  <si>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</si>
  <si>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</si>
  <si>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</si>
  <si>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</si>
  <si>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</si>
  <si>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</si>
  <si>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</si>
  <si>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</si>
  <si>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</si>
  <si>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</si>
  <si>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</si>
  <si>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</si>
  <si>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</si>
  <si>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</si>
  <si>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</si>
  <si>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</si>
  <si>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</si>
  <si>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</si>
  <si>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</si>
  <si>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</si>
  <si>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</si>
  <si>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</si>
  <si>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</si>
  <si>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</si>
  <si>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</si>
  <si>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</si>
  <si>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</si>
  <si>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</si>
  <si>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</si>
  <si>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</si>
  <si>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</si>
  <si>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</si>
  <si>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</si>
  <si>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</si>
  <si>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</si>
  <si>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</si>
  <si>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</si>
  <si>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</si>
  <si>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</si>
  <si>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</si>
  <si>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</si>
  <si>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</si>
  <si>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</si>
  <si>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</si>
  <si>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</si>
  <si>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</si>
  <si>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</si>
  <si>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</si>
  <si>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</si>
  <si>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</si>
  <si>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</si>
  <si>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</si>
  <si>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</si>
  <si>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</si>
  <si>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</si>
  <si>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</si>
  <si>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</si>
  <si>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</si>
  <si>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</si>
  <si>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</si>
  <si>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</si>
  <si>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</si>
  <si>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</si>
  <si>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</si>
  <si>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</si>
  <si>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</si>
  <si>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</si>
  <si>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</si>
  <si>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</si>
  <si>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</si>
  <si>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</si>
  <si>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</si>
  <si>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</si>
  <si>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</si>
  <si>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</si>
  <si>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</si>
  <si>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</si>
  <si>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</si>
  <si>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</si>
  <si>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</si>
  <si>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</si>
  <si>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</si>
  <si>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</si>
  <si>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</si>
  <si>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</si>
  <si>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</si>
  <si>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</si>
  <si>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</si>
  <si>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</si>
  <si>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</si>
  <si>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</si>
  <si>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</si>
  <si>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</si>
  <si>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</si>
  <si>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</si>
  <si>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</si>
  <si>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</si>
  <si>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</si>
  <si>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</si>
  <si>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</si>
  <si>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</si>
  <si>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</si>
  <si>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</si>
  <si>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</si>
  <si>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</si>
  <si>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</si>
  <si>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</si>
  <si>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</si>
  <si>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</si>
  <si>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</si>
  <si>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</si>
  <si>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</si>
  <si>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</si>
  <si>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</si>
  <si>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</si>
  <si>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</si>
  <si>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</si>
  <si>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</si>
  <si>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</si>
  <si>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</si>
  <si>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</si>
  <si>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</si>
  <si>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</si>
  <si>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</si>
  <si>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</si>
  <si>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</si>
  <si>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</si>
  <si>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</si>
  <si>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</si>
  <si>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</si>
  <si>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</si>
  <si>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</si>
  <si>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</si>
  <si>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</si>
  <si>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</si>
  <si>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</si>
  <si>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</si>
  <si>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</si>
  <si>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</si>
  <si>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</si>
  <si>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</si>
  <si>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</si>
  <si>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</si>
  <si>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</si>
  <si>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</si>
  <si>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</si>
  <si>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</si>
  <si>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</si>
  <si>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</si>
  <si>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</si>
  <si>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</si>
  <si>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</si>
  <si>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</si>
  <si>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</si>
  <si>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</si>
  <si>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</si>
  <si>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</si>
  <si>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</si>
  <si>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</si>
  <si>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</si>
  <si>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</si>
  <si>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</si>
  <si>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</si>
  <si>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</si>
  <si>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</si>
  <si>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</si>
  <si>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</si>
  <si>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</si>
  <si>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</si>
  <si>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</si>
  <si>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</si>
  <si>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</si>
  <si>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</si>
  <si>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</si>
  <si>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</si>
  <si>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</si>
  <si>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</si>
  <si>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</si>
  <si>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</si>
  <si>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</si>
  <si>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</si>
  <si>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</si>
  <si>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</si>
  <si>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</si>
  <si>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</si>
  <si>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</si>
  <si>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</si>
  <si>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</si>
  <si>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</si>
  <si>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</si>
  <si>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</si>
  <si>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</si>
  <si>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</si>
  <si>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</si>
  <si>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</si>
  <si>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</si>
  <si>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</si>
  <si>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</si>
  <si>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</si>
  <si>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</si>
  <si>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</si>
  <si>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</si>
  <si>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</si>
  <si>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</si>
  <si>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</si>
  <si>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</si>
  <si>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</si>
  <si>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</si>
  <si>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</si>
  <si>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</si>
  <si>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</si>
  <si>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</si>
  <si>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</si>
  <si>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</si>
  <si>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</si>
  <si>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</si>
  <si>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</si>
  <si>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</si>
  <si>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</si>
  <si>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</si>
  <si>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</si>
  <si>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</si>
  <si>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</si>
  <si>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</si>
  <si>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</si>
  <si>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</si>
  <si>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</si>
  <si>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</si>
  <si>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</si>
  <si>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</si>
  <si>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</si>
  <si>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</si>
  <si>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</si>
  <si>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</si>
  <si>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</si>
  <si>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</si>
  <si>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</si>
  <si>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</si>
  <si>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</si>
  <si>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</si>
  <si>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</si>
  <si>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</si>
  <si>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</si>
  <si>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</si>
  <si>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</si>
  <si>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</si>
  <si>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</si>
  <si>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</si>
  <si>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</si>
  <si>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</si>
  <si>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</si>
  <si>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</si>
  <si>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</si>
  <si>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</si>
  <si>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</si>
  <si>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</si>
  <si>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</si>
  <si>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</si>
  <si>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</si>
  <si>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</si>
  <si>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</si>
  <si>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</si>
  <si>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</si>
  <si>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</si>
  <si>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</si>
  <si>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</si>
  <si>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</si>
  <si>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</si>
  <si>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</si>
  <si>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</si>
  <si>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</si>
  <si>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</si>
  <si>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</si>
  <si>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</si>
  <si>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</si>
  <si>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</si>
  <si>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</si>
  <si>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</si>
  <si>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</si>
  <si>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</si>
  <si>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</si>
  <si>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</si>
  <si>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</si>
  <si>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</si>
  <si>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</si>
  <si>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</si>
  <si>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</si>
  <si>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</si>
  <si>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</si>
  <si>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</si>
  <si>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</si>
  <si>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</si>
  <si>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</si>
  <si>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</si>
  <si>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</si>
  <si>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</si>
  <si>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</si>
  <si>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</si>
  <si>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</si>
  <si>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</si>
  <si>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</si>
  <si>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</si>
  <si>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</si>
  <si>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</si>
  <si>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</si>
  <si>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</si>
  <si>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</si>
  <si>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</si>
  <si>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</si>
  <si>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</si>
  <si>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</si>
  <si>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</si>
  <si>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</si>
  <si>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</si>
  <si>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</si>
  <si>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</si>
  <si>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</si>
  <si>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</si>
  <si>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</si>
  <si>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</si>
  <si>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</si>
  <si>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</si>
  <si>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</si>
  <si>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</si>
  <si>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</si>
  <si>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</si>
  <si>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</si>
  <si>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</si>
  <si>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</si>
  <si>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</si>
  <si>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</si>
  <si>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</si>
  <si>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</si>
  <si>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</si>
  <si>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</si>
  <si>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</si>
  <si>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</si>
  <si>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</si>
  <si>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</si>
  <si>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</si>
  <si>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</si>
  <si>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</si>
  <si>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</si>
  <si>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</si>
  <si>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</si>
  <si>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</si>
  <si>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</si>
  <si>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</si>
  <si>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</si>
  <si>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</si>
  <si>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</si>
  <si>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</si>
  <si>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</si>
  <si>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</si>
  <si>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</si>
  <si>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</si>
  <si>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</si>
  <si>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</si>
  <si>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</si>
  <si>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</si>
  <si>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</si>
  <si>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</si>
  <si>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</si>
  <si>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</si>
  <si>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</si>
  <si>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</si>
  <si>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</si>
  <si>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</si>
  <si>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</si>
  <si>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</si>
  <si>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</si>
  <si>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</si>
  <si>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</si>
  <si>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</si>
  <si>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</si>
  <si>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</si>
  <si>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</si>
  <si>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</si>
  <si>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</si>
  <si>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</si>
  <si>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</si>
  <si>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</si>
  <si>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</si>
  <si>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</si>
  <si>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</si>
  <si>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</si>
  <si>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</si>
  <si>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</si>
  <si>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</si>
  <si>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</si>
  <si>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</si>
  <si>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</si>
  <si>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</si>
  <si>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</si>
  <si>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</si>
  <si>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</si>
  <si>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</si>
  <si>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</si>
  <si>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</si>
  <si>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</si>
  <si>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</si>
  <si>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</si>
  <si>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</si>
  <si>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</si>
  <si>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</si>
  <si>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</si>
  <si>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</si>
  <si>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</si>
  <si>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</si>
  <si>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</si>
  <si>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</si>
  <si>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</si>
  <si>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</si>
  <si>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</si>
  <si>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</si>
  <si>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</si>
  <si>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</si>
  <si>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</si>
  <si>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</si>
  <si>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</si>
  <si>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</si>
  <si>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</si>
  <si>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</si>
  <si>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</si>
  <si>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</si>
  <si>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</si>
  <si>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</si>
  <si>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</si>
  <si>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</si>
  <si>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</si>
  <si>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</si>
  <si>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</si>
  <si>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</si>
  <si>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</si>
  <si>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</si>
  <si>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</si>
  <si>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</si>
  <si>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</si>
  <si>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</si>
  <si>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</si>
  <si>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</si>
  <si>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</si>
  <si>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</si>
  <si>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</si>
  <si>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</si>
  <si>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</si>
  <si>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</si>
  <si>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</si>
  <si>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</si>
  <si>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</si>
  <si>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</si>
  <si>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</si>
  <si>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</si>
  <si>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</si>
  <si>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</si>
  <si>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</si>
  <si>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</si>
  <si>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</si>
  <si>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</si>
  <si>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</si>
  <si>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</si>
  <si>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</si>
  <si>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</si>
  <si>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</si>
  <si>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</si>
  <si>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</si>
  <si>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</si>
  <si>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</si>
  <si>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</si>
  <si>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</si>
  <si>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</si>
  <si>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</si>
  <si>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</si>
  <si>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</si>
  <si>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</si>
  <si>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</si>
  <si>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</si>
  <si>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</si>
  <si>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</si>
  <si>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</si>
  <si>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</si>
  <si>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</si>
  <si>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</si>
  <si>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</si>
  <si>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</si>
  <si>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</si>
  <si>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</si>
  <si>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</si>
  <si>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</si>
  <si>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</si>
  <si>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</si>
  <si>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</si>
  <si>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</si>
  <si>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</si>
  <si>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</si>
  <si>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</si>
  <si>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</si>
  <si>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</si>
  <si>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</si>
  <si>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</si>
  <si>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</si>
  <si>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</si>
  <si>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</si>
  <si>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</si>
  <si>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</si>
  <si>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</si>
  <si>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</si>
  <si>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</si>
  <si>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</si>
  <si>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</si>
  <si>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</si>
  <si>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</si>
  <si>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</si>
  <si>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</si>
  <si>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</si>
  <si>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</si>
  <si>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</si>
  <si>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</si>
  <si>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</si>
  <si>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</si>
  <si>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</si>
  <si>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</si>
  <si>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</si>
  <si>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</si>
  <si>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</si>
  <si>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</si>
  <si>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</si>
  <si>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</si>
  <si>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</si>
  <si>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</si>
  <si>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</si>
  <si>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</si>
  <si>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</si>
  <si>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</si>
  <si>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</si>
  <si>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</si>
  <si>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</si>
  <si>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</si>
  <si>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</si>
  <si>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</si>
  <si>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</si>
  <si>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</si>
  <si>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</si>
  <si>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</si>
  <si>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</si>
  <si>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</si>
  <si>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</si>
  <si>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</si>
  <si>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</si>
  <si>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</si>
  <si>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</si>
  <si>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</si>
  <si>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</si>
  <si>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</si>
  <si>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</si>
  <si>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</si>
  <si>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</si>
  <si>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</si>
  <si>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</si>
  <si>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</si>
  <si>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</si>
  <si>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</si>
  <si>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</si>
  <si>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</si>
  <si>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</si>
  <si>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</si>
  <si>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</si>
  <si>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</si>
  <si>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</si>
  <si>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</si>
  <si>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</si>
  <si>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</si>
  <si>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</si>
  <si>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</si>
  <si>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</si>
  <si>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</si>
  <si>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</si>
  <si>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</si>
  <si>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</si>
  <si>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</si>
  <si>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</si>
  <si>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</si>
  <si>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</si>
  <si>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</si>
  <si>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</si>
  <si>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</si>
  <si>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</si>
  <si>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</si>
  <si>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</si>
  <si>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</si>
  <si>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</si>
  <si>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</si>
  <si>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</si>
  <si>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</si>
  <si>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</si>
  <si>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</si>
  <si>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</si>
  <si>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</si>
  <si>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</si>
  <si>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</si>
  <si>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</si>
  <si>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</si>
  <si>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</si>
  <si>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</si>
  <si>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</si>
  <si>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</si>
  <si>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</si>
  <si>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</si>
  <si>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</si>
  <si>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</si>
  <si>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</si>
  <si>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</si>
  <si>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</si>
  <si>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</si>
  <si>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</si>
  <si>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</si>
  <si>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</si>
  <si>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</si>
  <si>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</si>
  <si>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</si>
  <si>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</si>
  <si>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</si>
  <si>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</si>
  <si>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</si>
  <si>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</si>
  <si>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</si>
  <si>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</si>
  <si>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</si>
  <si>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</si>
  <si>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</si>
  <si>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</si>
  <si>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</si>
  <si>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</si>
  <si>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</si>
  <si>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</si>
  <si>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</si>
  <si>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</si>
  <si>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</si>
  <si>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</si>
  <si>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</si>
  <si>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</si>
  <si>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</si>
  <si>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</si>
  <si>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</si>
  <si>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</si>
  <si>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</si>
  <si>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</si>
  <si>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</si>
  <si>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</si>
  <si>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</si>
  <si>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</si>
  <si>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</si>
  <si>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</si>
  <si>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</si>
  <si>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</si>
  <si>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</si>
  <si>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</si>
  <si>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</si>
  <si>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</si>
  <si>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</si>
  <si>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</si>
  <si>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</si>
  <si>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</si>
  <si>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</si>
  <si>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</si>
  <si>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</si>
  <si>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</si>
  <si>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</si>
  <si>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</si>
  <si>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</si>
  <si>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</si>
  <si>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</si>
  <si>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</si>
  <si>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</si>
  <si>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</si>
  <si>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</si>
  <si>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</si>
  <si>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</si>
  <si>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</si>
  <si>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</si>
  <si>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</si>
  <si>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</si>
  <si>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</si>
  <si>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</si>
  <si>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</si>
  <si>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</si>
  <si>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</si>
  <si>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</si>
  <si>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</si>
  <si>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</si>
  <si>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</si>
  <si>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</si>
  <si>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</si>
  <si>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</si>
  <si>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</si>
  <si>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</si>
  <si>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</si>
  <si>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</si>
  <si>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</si>
  <si>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</si>
  <si>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</si>
  <si>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</si>
  <si>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</si>
  <si>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</si>
  <si>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</si>
  <si>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</si>
  <si>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</si>
  <si>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</si>
  <si>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</si>
  <si>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</si>
  <si>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</si>
  <si>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</si>
  <si>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</si>
  <si>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</si>
  <si>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</si>
  <si>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</si>
  <si>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</si>
  <si>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</si>
  <si>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</si>
  <si>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</si>
  <si>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</si>
  <si>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</si>
  <si>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</si>
  <si>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</si>
  <si>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</si>
  <si>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</si>
  <si>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</si>
  <si>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</si>
  <si>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</si>
  <si>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</si>
  <si>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</si>
  <si>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</si>
  <si>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</si>
  <si>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</si>
  <si>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</si>
  <si>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</si>
  <si>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</si>
  <si>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</si>
  <si>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</si>
  <si>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</si>
  <si>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</si>
  <si>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</si>
  <si>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</si>
  <si>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</si>
  <si>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</si>
  <si>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</si>
  <si>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</si>
  <si>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</si>
  <si>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</si>
  <si>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</si>
  <si>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</si>
  <si>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</si>
  <si>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</si>
  <si>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</si>
  <si>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</si>
  <si>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</si>
  <si>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</si>
  <si>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</si>
  <si>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</si>
  <si>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</si>
  <si>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</si>
  <si>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</si>
  <si>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</si>
  <si>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</si>
  <si>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</si>
  <si>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</si>
  <si>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</si>
  <si>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</si>
  <si>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</si>
  <si>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</si>
  <si>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</si>
  <si>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</si>
  <si>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</si>
  <si>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</si>
  <si>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</si>
  <si>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</si>
  <si>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</si>
  <si>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</si>
  <si>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</si>
  <si>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</si>
  <si>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</si>
  <si>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</si>
  <si>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</si>
  <si>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</si>
  <si>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</si>
  <si>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</si>
  <si>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</si>
  <si>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</si>
  <si>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</si>
  <si>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</si>
  <si>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</si>
  <si>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</si>
  <si>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</si>
  <si>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</si>
  <si>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</si>
  <si>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</si>
  <si>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</si>
  <si>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</si>
  <si>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</si>
  <si>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</si>
  <si>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</si>
  <si>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</si>
  <si>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</si>
  <si>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</si>
  <si>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</si>
  <si>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</si>
  <si>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</si>
  <si>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</si>
  <si>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</si>
  <si>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</si>
  <si>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</si>
  <si>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</si>
  <si>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</si>
  <si>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</si>
  <si>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</si>
  <si>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</si>
  <si>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</si>
  <si>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</si>
  <si>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</si>
  <si>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</si>
  <si>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</si>
  <si>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</si>
  <si>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</si>
  <si>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</si>
  <si>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</si>
  <si>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</si>
  <si>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</si>
  <si>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</si>
  <si>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</si>
  <si>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</si>
  <si>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</si>
  <si>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</si>
  <si>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</si>
  <si>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</si>
  <si>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</si>
  <si>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</si>
  <si>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</si>
  <si>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</si>
  <si>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</si>
  <si>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</si>
  <si>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</si>
  <si>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</si>
  <si>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</si>
  <si>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</si>
  <si>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</si>
  <si>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</si>
  <si>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</si>
  <si>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</si>
  <si>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</si>
  <si>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</si>
  <si>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</si>
  <si>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</si>
  <si>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</si>
  <si>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</si>
  <si>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</si>
  <si>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</si>
  <si>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</si>
  <si>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</si>
  <si>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</si>
  <si>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</si>
  <si>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</si>
  <si>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</si>
  <si>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</si>
  <si>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</si>
  <si>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</si>
  <si>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</si>
  <si>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</si>
  <si>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</si>
  <si>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</si>
  <si>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</si>
  <si>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</si>
  <si>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</si>
  <si>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</si>
  <si>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</si>
  <si>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</si>
  <si>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</si>
  <si>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</si>
  <si>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</si>
  <si>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</si>
  <si>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</si>
  <si>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</si>
  <si>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</si>
  <si>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</si>
  <si>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</si>
  <si>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</si>
  <si>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</si>
  <si>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</si>
  <si>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</si>
  <si>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</si>
  <si>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</si>
  <si>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</si>
  <si>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</si>
  <si>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</si>
  <si>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</si>
  <si>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</si>
  <si>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</si>
  <si>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</si>
  <si>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</si>
  <si>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</si>
  <si>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</si>
  <si>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</si>
  <si>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</si>
  <si>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</si>
  <si>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</si>
  <si>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</si>
  <si>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</si>
  <si>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</si>
  <si>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</si>
  <si>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</si>
  <si>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</si>
  <si>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</si>
  <si>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</si>
  <si>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</si>
  <si>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</si>
  <si>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</si>
  <si>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</si>
  <si>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</si>
  <si>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</si>
  <si>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</si>
  <si>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</si>
  <si>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</si>
  <si>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</si>
  <si>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</si>
  <si>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</si>
  <si>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</si>
  <si>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</si>
  <si>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</si>
  <si>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</si>
  <si>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</si>
  <si>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</si>
  <si>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</si>
  <si>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</si>
  <si>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</si>
  <si>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</si>
  <si>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</si>
  <si>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</si>
  <si>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</si>
  <si>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</si>
  <si>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</si>
  <si>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</si>
  <si>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</si>
  <si>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</si>
  <si>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</si>
  <si>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</si>
  <si>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</si>
  <si>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</si>
  <si>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</si>
  <si>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</si>
  <si>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</si>
  <si>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</si>
  <si>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</si>
  <si>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</si>
  <si>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</si>
  <si>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</si>
  <si>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</si>
  <si>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</si>
  <si>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</si>
  <si>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</si>
  <si>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</si>
  <si>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</si>
  <si>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</si>
  <si>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</si>
  <si>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</si>
  <si>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</si>
  <si>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</si>
  <si>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</si>
  <si>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</si>
  <si>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</si>
  <si>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</si>
  <si>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</si>
  <si>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</si>
  <si>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</si>
  <si>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</si>
  <si>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</si>
  <si>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</si>
  <si>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</si>
  <si>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</si>
  <si>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</si>
  <si>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</si>
  <si>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</si>
  <si>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</si>
  <si>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</si>
  <si>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</si>
  <si>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</si>
  <si>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</si>
  <si>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</si>
  <si>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</si>
  <si>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</si>
  <si>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</si>
  <si>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</si>
  <si>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</si>
  <si>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</si>
  <si>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</si>
  <si>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</si>
  <si>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</si>
  <si>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</si>
  <si>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</si>
  <si>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</si>
  <si>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</si>
  <si>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</si>
  <si>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</si>
  <si>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</si>
  <si>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</si>
  <si>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</si>
  <si>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</si>
  <si>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</si>
  <si>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</si>
  <si>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</si>
  <si>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</si>
  <si>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</si>
  <si>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</si>
  <si>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</si>
  <si>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</si>
  <si>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</si>
  <si>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</si>
  <si>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</si>
  <si>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</si>
  <si>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</si>
  <si>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</si>
  <si>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</si>
  <si>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</si>
  <si>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</si>
  <si>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</si>
  <si>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</si>
  <si>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</si>
  <si>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</si>
  <si>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</si>
  <si>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</si>
  <si>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</si>
  <si>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</si>
  <si>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</si>
  <si>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</si>
  <si>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</si>
  <si>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</si>
  <si>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</si>
  <si>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</si>
  <si>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</si>
  <si>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</si>
  <si>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</si>
  <si>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</si>
  <si>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</si>
  <si>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</si>
  <si>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</si>
  <si>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</si>
  <si>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</si>
  <si>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</si>
  <si>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</si>
  <si>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</si>
  <si>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</si>
  <si>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</si>
  <si>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</si>
  <si>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</si>
  <si>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</si>
  <si>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</si>
  <si>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</si>
  <si>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</si>
  <si>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</si>
  <si>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</si>
  <si>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</si>
  <si>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</si>
  <si>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</si>
  <si>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</si>
  <si>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</si>
  <si>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</si>
  <si>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</si>
  <si>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</si>
  <si>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</si>
  <si>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</si>
  <si>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</si>
  <si>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</si>
  <si>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</si>
  <si>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</si>
  <si>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</si>
  <si>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</si>
  <si>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</si>
  <si>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</si>
  <si>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</si>
  <si>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</si>
  <si>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</si>
  <si>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</si>
  <si>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</si>
  <si>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</si>
  <si>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</si>
  <si>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</si>
  <si>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</si>
  <si>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</si>
  <si>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</si>
  <si>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</si>
  <si>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</si>
  <si>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</si>
  <si>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</si>
  <si>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</si>
  <si>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</si>
  <si>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</si>
  <si>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</si>
  <si>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</si>
  <si>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</si>
  <si>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</si>
  <si>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</si>
  <si>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</si>
  <si>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</si>
  <si>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</si>
  <si>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</si>
  <si>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</si>
  <si>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</si>
  <si>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</si>
  <si>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</si>
  <si>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</si>
  <si>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</si>
  <si>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</si>
  <si>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</si>
  <si>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</si>
  <si>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</si>
  <si>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</si>
  <si>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</si>
  <si>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</si>
  <si>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</si>
  <si>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</si>
  <si>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</si>
  <si>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</si>
  <si>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</si>
  <si>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</si>
  <si>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</si>
  <si>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</si>
  <si>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</si>
  <si>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</si>
  <si>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</si>
  <si>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</si>
  <si>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</si>
  <si>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</si>
  <si>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</si>
  <si>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</si>
  <si>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</si>
  <si>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</si>
  <si>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</si>
  <si>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</si>
  <si>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</si>
  <si>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</si>
  <si>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</si>
  <si>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</si>
  <si>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</si>
  <si>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</si>
  <si>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</si>
  <si>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</si>
  <si>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</si>
  <si>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</si>
  <si>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</si>
  <si>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</si>
  <si>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</si>
  <si>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</si>
  <si>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</si>
  <si>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</si>
  <si>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</si>
  <si>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</si>
  <si>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</si>
  <si>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</si>
  <si>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</si>
  <si>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</si>
  <si>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</si>
  <si>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</si>
  <si>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</si>
  <si>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</si>
  <si>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</si>
  <si>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</si>
  <si>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</si>
  <si>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</si>
  <si>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</si>
  <si>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</si>
  <si>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</si>
  <si>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</si>
  <si>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</si>
  <si>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</si>
  <si>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</si>
  <si>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</si>
  <si>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</si>
  <si>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</si>
  <si>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</si>
  <si>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</si>
  <si>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</si>
  <si>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</si>
  <si>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</si>
  <si>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</si>
  <si>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</si>
  <si>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</si>
  <si>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</si>
  <si>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</si>
  <si>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</si>
  <si>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</si>
  <si>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</si>
  <si>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</si>
  <si>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</si>
  <si>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</si>
  <si>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</si>
  <si>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</si>
  <si>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</si>
  <si>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</si>
  <si>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</si>
  <si>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</si>
  <si>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</si>
  <si>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</si>
  <si>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</si>
  <si>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</si>
  <si>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</si>
  <si>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</si>
  <si>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</si>
  <si>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</si>
  <si>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</si>
  <si>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</si>
  <si>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</si>
  <si>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</si>
  <si>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</si>
  <si>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</si>
  <si>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</si>
  <si>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</si>
  <si>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</si>
  <si>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</si>
  <si>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</si>
  <si>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</si>
  <si>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</si>
  <si>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</si>
  <si>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</si>
  <si>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</si>
  <si>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</si>
  <si>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</si>
  <si>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</si>
  <si>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</si>
  <si>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</si>
  <si>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</si>
  <si>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</si>
  <si>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</si>
  <si>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</si>
  <si>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</si>
  <si>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</si>
  <si>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</si>
  <si>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</si>
  <si>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</si>
  <si>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</si>
  <si>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</si>
  <si>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</si>
  <si>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</si>
  <si>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</si>
  <si>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</si>
  <si>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</si>
  <si>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</si>
  <si>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</si>
  <si>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</si>
  <si>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</si>
  <si>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</si>
  <si>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</si>
  <si>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</si>
  <si>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</si>
  <si>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</si>
  <si>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</si>
  <si>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</si>
  <si>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</si>
  <si>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</si>
  <si>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</si>
  <si>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</si>
  <si>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</si>
  <si>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</si>
  <si>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</si>
  <si>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</si>
  <si>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</si>
  <si>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</si>
  <si>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</si>
  <si>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</si>
  <si>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</si>
  <si>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</si>
  <si>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</si>
  <si>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</si>
  <si>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</si>
  <si>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</si>
  <si>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</si>
  <si>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</si>
  <si>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</si>
  <si>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</si>
  <si>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</si>
  <si>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</si>
  <si>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</si>
  <si>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</si>
  <si>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</si>
  <si>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</si>
  <si>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</si>
  <si>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</si>
  <si>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</si>
  <si>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</si>
  <si>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</si>
  <si>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</si>
  <si>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</si>
  <si>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</si>
  <si>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</si>
  <si>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</si>
  <si>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</si>
  <si>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</si>
  <si>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</si>
  <si>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</si>
  <si>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</si>
  <si>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</si>
  <si>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</si>
  <si>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</si>
  <si>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</si>
  <si>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</si>
  <si>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</si>
  <si>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</si>
  <si>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</si>
  <si>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</si>
  <si>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</si>
  <si>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</si>
  <si>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</si>
  <si>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</si>
  <si>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</si>
  <si>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</si>
  <si>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</si>
  <si>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</si>
  <si>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</si>
  <si>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</si>
  <si>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</si>
  <si>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</si>
  <si>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</si>
  <si>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</si>
  <si>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</si>
  <si>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</si>
  <si>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</si>
  <si>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</si>
  <si>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</si>
  <si>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</si>
  <si>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</si>
  <si>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</si>
  <si>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</si>
  <si>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</si>
  <si>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</si>
  <si>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</si>
  <si>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</si>
  <si>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</si>
  <si>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</si>
  <si>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</si>
  <si>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</si>
  <si>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</si>
  <si>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</si>
  <si>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</si>
  <si>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</si>
  <si>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</si>
  <si>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</si>
  <si>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</si>
  <si>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</si>
  <si>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</si>
  <si>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</si>
  <si>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</si>
  <si>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</si>
  <si>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</si>
  <si>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</si>
  <si>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</si>
  <si>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</si>
  <si>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</si>
  <si>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</si>
  <si>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</si>
  <si>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</si>
  <si>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</si>
  <si>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</si>
  <si>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</si>
  <si>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</si>
  <si>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</si>
  <si>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</si>
  <si>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</si>
  <si>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</si>
  <si>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</si>
  <si>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</si>
  <si>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</si>
  <si>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</si>
  <si>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</si>
  <si>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</si>
  <si>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</si>
  <si>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</si>
  <si>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</si>
  <si>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</si>
  <si>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</si>
  <si>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</si>
  <si>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</si>
  <si>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</si>
  <si>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</si>
  <si>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</si>
  <si>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</si>
  <si>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</si>
  <si>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</si>
  <si>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</si>
  <si>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</si>
  <si>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</si>
  <si>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</si>
  <si>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</si>
  <si>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</si>
  <si>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</si>
  <si>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</si>
  <si>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</si>
  <si>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</si>
  <si>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</si>
  <si>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</si>
  <si>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</si>
  <si>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</si>
  <si>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</si>
  <si>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</si>
  <si>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</si>
  <si>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</si>
  <si>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</si>
  <si>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</si>
  <si>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</si>
  <si>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</si>
  <si>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</si>
  <si>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</si>
  <si>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</si>
  <si>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</si>
  <si>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</si>
  <si>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</si>
  <si>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</si>
  <si>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</si>
  <si>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</si>
  <si>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</si>
  <si>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</si>
  <si>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</si>
  <si>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</si>
  <si>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</si>
  <si>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</si>
  <si>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</si>
  <si>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</si>
  <si>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</si>
  <si>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</si>
  <si>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</si>
  <si>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</si>
  <si>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</si>
  <si>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</si>
  <si>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</si>
  <si>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</si>
  <si>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</si>
  <si>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</si>
  <si>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</si>
  <si>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</si>
  <si>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</si>
  <si>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</si>
  <si>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</si>
  <si>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</si>
  <si>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</si>
  <si>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</si>
  <si>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</si>
  <si>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</si>
  <si>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</si>
  <si>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</si>
  <si>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</si>
  <si>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</si>
  <si>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</si>
  <si>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</si>
  <si>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</si>
  <si>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</si>
  <si>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</si>
  <si>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</si>
  <si>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</si>
  <si>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</si>
  <si>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</si>
  <si>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</si>
  <si>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</si>
  <si>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</si>
  <si>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</si>
  <si>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</si>
  <si>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</si>
  <si>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</si>
  <si>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</si>
  <si>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</si>
  <si>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</si>
  <si>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</si>
  <si>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</si>
  <si>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</si>
  <si>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</si>
  <si>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</si>
  <si>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</si>
  <si>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</si>
  <si>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</si>
  <si>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</si>
  <si>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</si>
  <si>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</si>
  <si>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</si>
  <si>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</si>
  <si>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</si>
  <si>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</si>
  <si>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</si>
  <si>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</si>
  <si>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</si>
  <si>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</si>
  <si>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</si>
  <si>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</si>
  <si>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</si>
  <si>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</si>
  <si>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</si>
  <si>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</si>
  <si>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</si>
  <si>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</si>
  <si>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</si>
  <si>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</si>
  <si>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</si>
  <si>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</si>
  <si>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</si>
  <si>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</si>
  <si>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</si>
  <si>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</si>
  <si>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</si>
  <si>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</si>
  <si>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</si>
  <si>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</si>
  <si>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</si>
  <si>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</si>
  <si>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</si>
  <si>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</si>
  <si>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</si>
  <si>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</si>
  <si>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</si>
  <si>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</si>
  <si>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</si>
  <si>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</si>
  <si>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</si>
  <si>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</si>
  <si>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</si>
  <si>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</si>
  <si>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</si>
  <si>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</si>
  <si>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</si>
  <si>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</si>
  <si>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</si>
  <si>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</si>
  <si>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</si>
  <si>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</si>
  <si>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</si>
  <si>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</si>
  <si>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</si>
  <si>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</si>
  <si>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</si>
  <si>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</si>
  <si>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</si>
  <si>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</si>
  <si>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</si>
  <si>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</si>
  <si>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</si>
  <si>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</si>
  <si>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</si>
  <si>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</si>
  <si>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</si>
  <si>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</si>
  <si>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</si>
  <si>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</si>
  <si>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</si>
  <si>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</si>
  <si>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</si>
  <si>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</si>
  <si>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</si>
  <si>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</si>
  <si>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</si>
  <si>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</si>
  <si>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</si>
  <si>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</si>
  <si>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</si>
  <si>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</si>
  <si>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</si>
  <si>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</si>
  <si>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</si>
  <si>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</si>
  <si>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</si>
  <si>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</si>
  <si>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</si>
  <si>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</si>
  <si>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</si>
  <si>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</si>
  <si>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</si>
  <si>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</si>
  <si>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</si>
  <si>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</si>
  <si>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</si>
  <si>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</si>
  <si>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</si>
  <si>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</si>
  <si>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</si>
  <si>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</si>
  <si>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</si>
  <si>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</si>
  <si>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</si>
  <si>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</si>
  <si>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</si>
  <si>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</si>
  <si>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</si>
  <si>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</si>
  <si>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</si>
  <si>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</si>
  <si>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</si>
  <si>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</si>
  <si>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</si>
  <si>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</si>
  <si>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</si>
  <si>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</si>
  <si>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</si>
  <si>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</si>
  <si>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</si>
  <si>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</si>
  <si>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</si>
  <si>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</si>
  <si>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</si>
  <si>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</si>
  <si>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</si>
  <si>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</si>
  <si>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</si>
  <si>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</si>
  <si>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</si>
  <si>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</si>
  <si>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</si>
  <si>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</si>
  <si>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</si>
  <si>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</si>
  <si>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</si>
  <si>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</si>
  <si>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</si>
  <si>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</si>
  <si>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</si>
  <si>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</si>
  <si>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</si>
  <si>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</si>
  <si>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</si>
  <si>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</si>
  <si>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</si>
  <si>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</si>
  <si>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</si>
  <si>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</si>
  <si>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</si>
  <si>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</si>
  <si>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</si>
  <si>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</si>
  <si>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</si>
  <si>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</si>
  <si>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</si>
  <si>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</si>
  <si>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</si>
  <si>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</si>
  <si>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</si>
  <si>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</si>
  <si>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</si>
  <si>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</si>
  <si>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</si>
  <si>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</si>
  <si>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</si>
  <si>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</si>
  <si>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</si>
  <si>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</si>
  <si>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</si>
  <si>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</si>
  <si>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</si>
  <si>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</si>
  <si>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</si>
  <si>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</si>
  <si>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</si>
  <si>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</si>
  <si>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</si>
  <si>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</si>
  <si>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</si>
  <si>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</si>
  <si>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</si>
  <si>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</si>
  <si>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</si>
  <si>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</si>
  <si>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</si>
  <si>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</si>
  <si>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</si>
  <si>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</si>
  <si>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</si>
  <si>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</si>
  <si>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</si>
  <si>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</si>
  <si>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</si>
  <si>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</si>
  <si>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</si>
  <si>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</si>
  <si>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</si>
  <si>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</si>
  <si>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</si>
  <si>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</si>
  <si>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</si>
  <si>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</si>
  <si>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</si>
  <si>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</si>
  <si>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</si>
  <si>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</si>
  <si>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</si>
  <si>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</si>
  <si>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</si>
  <si>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</si>
  <si>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</si>
  <si>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</si>
  <si>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</si>
  <si>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</si>
  <si>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</si>
  <si>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</si>
  <si>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</si>
  <si>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</si>
  <si>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</si>
  <si>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</si>
  <si>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</si>
  <si>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</si>
  <si>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</si>
  <si>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</si>
  <si>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</si>
  <si>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</si>
  <si>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</si>
  <si>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</si>
  <si>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</si>
  <si>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</si>
  <si>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</si>
  <si>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</si>
  <si>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</si>
  <si>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</si>
  <si>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</si>
  <si>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</si>
  <si>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</si>
  <si>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</si>
  <si>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</si>
  <si>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</si>
  <si>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</si>
  <si>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</si>
  <si>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</si>
  <si>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</si>
  <si>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</si>
  <si>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</si>
  <si>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</si>
  <si>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</si>
  <si>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</si>
  <si>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</si>
  <si>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</si>
  <si>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</si>
  <si>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</si>
  <si>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</si>
  <si>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</si>
  <si>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</si>
  <si>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</si>
  <si>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</si>
  <si>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</si>
  <si>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</si>
  <si>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</si>
  <si>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</si>
  <si>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</si>
  <si>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</si>
  <si>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</si>
  <si>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</si>
  <si>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</si>
  <si>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</si>
  <si>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</si>
  <si>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</si>
  <si>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</si>
  <si>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</si>
  <si>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</si>
  <si>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</si>
  <si>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</si>
  <si>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</si>
  <si>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</si>
  <si>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</si>
  <si>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</si>
  <si>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</si>
  <si>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</si>
  <si>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</si>
  <si>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</si>
  <si>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</si>
  <si>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</si>
  <si>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</si>
  <si>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</si>
  <si>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</si>
  <si>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</si>
  <si>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</si>
  <si>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</si>
  <si>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</si>
  <si>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</si>
  <si>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</si>
  <si>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</si>
  <si>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</si>
  <si>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</si>
  <si>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</si>
  <si>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</si>
  <si>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</si>
  <si>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</si>
  <si>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</si>
  <si>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</si>
  <si>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</si>
  <si>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</si>
  <si>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</si>
  <si>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</si>
  <si>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</si>
  <si>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</si>
  <si>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</si>
  <si>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</si>
  <si>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</si>
  <si>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</si>
  <si>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</si>
  <si>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</si>
  <si>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</si>
  <si>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</si>
  <si>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</si>
  <si>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</si>
  <si>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</si>
  <si>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</si>
  <si>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</si>
  <si>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</si>
  <si>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</si>
  <si>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</si>
  <si>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</si>
  <si>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</si>
  <si>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</si>
  <si>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</si>
  <si>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</si>
  <si>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</si>
  <si>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</si>
  <si>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</si>
  <si>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</si>
  <si>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</si>
  <si>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</si>
  <si>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</si>
  <si>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</si>
  <si>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</si>
  <si>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</si>
  <si>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</si>
  <si>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</si>
  <si>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</si>
  <si>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</si>
  <si>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</si>
  <si>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</si>
  <si>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</si>
  <si>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</si>
  <si>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</si>
  <si>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</si>
  <si>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</si>
  <si>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</si>
  <si>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</si>
  <si>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</si>
  <si>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</si>
  <si>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</si>
  <si>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</si>
  <si>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</si>
  <si>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</si>
  <si>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</si>
  <si>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</si>
  <si>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</si>
  <si>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</si>
  <si>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</si>
  <si>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</si>
  <si>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</si>
  <si>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</si>
  <si>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</si>
  <si>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</si>
  <si>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</si>
  <si>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</si>
  <si>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</si>
  <si>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</si>
  <si>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</si>
  <si>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</si>
  <si>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</si>
  <si>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</si>
  <si>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</si>
  <si>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</si>
  <si>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</si>
  <si>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</si>
  <si>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</si>
  <si>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</si>
  <si>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</si>
  <si>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</si>
  <si>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</si>
  <si>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</si>
  <si>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</si>
  <si>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</si>
  <si>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</si>
  <si>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</si>
  <si>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</si>
  <si>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</si>
  <si>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</si>
  <si>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</si>
  <si>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</si>
  <si>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</si>
  <si>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</si>
  <si>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</si>
  <si>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</si>
  <si>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</si>
  <si>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</si>
  <si>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</si>
  <si>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</si>
  <si>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</si>
  <si>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</si>
  <si>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</si>
  <si>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</si>
  <si>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</si>
  <si>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</si>
  <si>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</si>
  <si>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</si>
  <si>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</si>
  <si>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</si>
  <si>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</si>
  <si>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</si>
  <si>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</si>
  <si>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</si>
  <si>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</si>
  <si>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</si>
  <si>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</si>
  <si>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</si>
  <si>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</si>
  <si>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</si>
  <si>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</si>
  <si>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</si>
  <si>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</si>
  <si>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</si>
  <si>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</si>
  <si>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</si>
  <si>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</si>
  <si>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</si>
  <si>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</si>
  <si>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</si>
  <si>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</si>
  <si>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</si>
  <si>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</si>
  <si>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</si>
  <si>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</si>
  <si>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</si>
  <si>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</si>
  <si>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</si>
  <si>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</si>
  <si>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</si>
  <si>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</si>
  <si>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</si>
  <si>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</si>
  <si>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</si>
  <si>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</si>
  <si>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</si>
  <si>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</si>
  <si>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</si>
  <si>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</si>
  <si>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</si>
  <si>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</si>
  <si>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</si>
  <si>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</si>
  <si>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</si>
  <si>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</si>
  <si>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</si>
  <si>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</si>
  <si>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</si>
  <si>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</si>
  <si>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</si>
  <si>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</si>
  <si>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</si>
  <si>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</si>
  <si>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</si>
  <si>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</si>
  <si>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</si>
  <si>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</si>
  <si>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</si>
  <si>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</si>
  <si>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</si>
  <si>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</si>
  <si>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</si>
  <si>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</si>
  <si>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</si>
  <si>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</si>
  <si>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</si>
  <si>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</si>
  <si>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</si>
  <si>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</si>
  <si>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</si>
  <si>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</si>
  <si>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</si>
  <si>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</si>
  <si>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</si>
  <si>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</si>
  <si>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</si>
  <si>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</si>
  <si>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</si>
  <si>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</si>
  <si>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</si>
  <si>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</si>
  <si>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</si>
  <si>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</si>
  <si>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</si>
  <si>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</si>
  <si>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</si>
  <si>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</si>
  <si>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</si>
  <si>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</si>
  <si>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</si>
  <si>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</si>
  <si>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</si>
  <si>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</si>
  <si>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</si>
  <si>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</si>
  <si>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</si>
  <si>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</si>
  <si>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</si>
  <si>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</si>
  <si>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</si>
  <si>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</si>
  <si>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</si>
  <si>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</si>
  <si>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</si>
  <si>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</si>
  <si>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</si>
  <si>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</si>
  <si>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</si>
  <si>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</si>
  <si>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</si>
  <si>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</si>
  <si>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</si>
  <si>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</si>
  <si>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</si>
  <si>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</si>
  <si>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</si>
  <si>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</si>
  <si>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</si>
  <si>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</si>
  <si>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</si>
  <si>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</si>
  <si>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</si>
  <si>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</si>
  <si>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</si>
  <si>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</si>
  <si>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</si>
  <si>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</si>
  <si>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</si>
  <si>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</si>
  <si>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</si>
  <si>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</si>
  <si>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</si>
  <si>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</si>
  <si>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</si>
  <si>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</si>
  <si>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</si>
  <si>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</si>
  <si>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</si>
  <si>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</si>
  <si>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</si>
  <si>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</si>
  <si>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</si>
  <si>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</si>
  <si>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</si>
  <si>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</si>
  <si>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</si>
  <si>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</si>
  <si>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</si>
  <si>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</si>
  <si>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</si>
  <si>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</si>
  <si>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</si>
  <si>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</si>
  <si>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</si>
  <si>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</si>
  <si>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</si>
  <si>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</si>
  <si>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</si>
  <si>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</si>
  <si>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</si>
  <si>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</si>
  <si>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</si>
  <si>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</si>
  <si>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</si>
  <si>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</si>
  <si>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</si>
  <si>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</si>
  <si>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</si>
  <si>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</si>
  <si>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</si>
  <si>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</si>
  <si>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</si>
  <si>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</si>
  <si>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</si>
  <si>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</si>
  <si>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</si>
  <si>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</si>
  <si>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</si>
  <si>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</si>
  <si>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</si>
  <si>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</si>
  <si>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</si>
  <si>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</si>
  <si>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</si>
  <si>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</si>
  <si>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</si>
  <si>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</si>
  <si>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</si>
  <si>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</si>
  <si>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</si>
  <si>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</si>
  <si>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</si>
  <si>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</si>
  <si>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</si>
  <si>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</si>
  <si>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</si>
  <si>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</si>
  <si>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</si>
  <si>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</si>
  <si>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</si>
  <si>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</si>
  <si>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</si>
  <si>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</si>
  <si>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</si>
  <si>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</si>
  <si>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</si>
  <si>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</si>
  <si>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</si>
  <si>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</si>
  <si>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</si>
  <si>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</si>
  <si>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</si>
  <si>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</si>
  <si>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</si>
  <si>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</si>
  <si>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</si>
  <si>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</si>
  <si>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</si>
  <si>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</si>
  <si>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</si>
  <si>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</si>
  <si>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</si>
  <si>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</si>
  <si>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</si>
  <si>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</si>
  <si>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</si>
  <si>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</si>
  <si>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</si>
  <si>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</si>
  <si>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</si>
  <si>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</si>
  <si>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</si>
  <si>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</si>
  <si>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</si>
  <si>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</si>
  <si>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</si>
  <si>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</si>
  <si>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</si>
  <si>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</si>
  <si>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</si>
  <si>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</si>
  <si>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</si>
  <si>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</si>
  <si>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</si>
  <si>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</si>
  <si>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</si>
  <si>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</si>
  <si>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</si>
  <si>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</si>
  <si>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</si>
  <si>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</si>
  <si>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</si>
  <si>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</si>
  <si>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</si>
  <si>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</si>
  <si>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</si>
  <si>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</si>
  <si>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</si>
  <si>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</si>
  <si>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</si>
  <si>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</si>
  <si>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</si>
  <si>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</si>
  <si>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</si>
  <si>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</si>
  <si>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</si>
  <si>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</si>
  <si>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</si>
  <si>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</si>
  <si>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</si>
  <si>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</si>
  <si>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</si>
  <si>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</si>
  <si>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</si>
  <si>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</si>
  <si>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</si>
  <si>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</si>
  <si>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</si>
  <si>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</si>
  <si>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</si>
  <si>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</si>
  <si>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</si>
  <si>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</si>
  <si>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</si>
  <si>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</si>
  <si>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</si>
  <si>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</si>
  <si>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</si>
  <si>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</si>
  <si>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</si>
  <si>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</si>
  <si>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</si>
  <si>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</si>
  <si>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</si>
  <si>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</si>
  <si>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</si>
  <si>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</si>
  <si>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</si>
  <si>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</si>
  <si>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</si>
  <si>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</si>
  <si>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</si>
  <si>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</si>
  <si>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</si>
  <si>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</si>
  <si>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</si>
  <si>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</si>
  <si>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</si>
  <si>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</si>
  <si>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</si>
  <si>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</si>
  <si>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</si>
  <si>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</si>
  <si>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</si>
  <si>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</si>
  <si>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</si>
  <si>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</si>
  <si>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</si>
  <si>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</si>
  <si>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</si>
  <si>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</si>
  <si>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</si>
  <si>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</si>
  <si>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</si>
  <si>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</si>
  <si>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</si>
  <si>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</si>
  <si>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</si>
  <si>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</si>
  <si>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</si>
  <si>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</si>
  <si>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</si>
  <si>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</si>
  <si>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</si>
  <si>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</si>
  <si>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</si>
  <si>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</si>
  <si>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</si>
  <si>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</si>
  <si>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</si>
  <si>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</si>
  <si>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</si>
  <si>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</si>
  <si>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</si>
  <si>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</si>
  <si>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</si>
  <si>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</si>
  <si>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</si>
  <si>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</si>
  <si>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</si>
  <si>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</si>
  <si>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</si>
  <si>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</si>
  <si>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</si>
  <si>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</si>
  <si>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</si>
  <si>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</si>
  <si>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</si>
  <si>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</si>
  <si>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</si>
  <si>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</si>
  <si>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</si>
  <si>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</si>
  <si>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</si>
  <si>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</si>
  <si>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</si>
  <si>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</si>
  <si>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</si>
  <si>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</si>
  <si>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</si>
  <si>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</si>
  <si>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</si>
  <si>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</si>
  <si>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</si>
  <si>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</si>
  <si>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</si>
  <si>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</si>
  <si>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</si>
  <si>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</si>
  <si>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</si>
  <si>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</si>
  <si>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</si>
  <si>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</si>
  <si>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</si>
  <si>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</si>
  <si>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</si>
  <si>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</si>
  <si>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</si>
  <si>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</si>
  <si>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</si>
  <si>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</si>
  <si>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</si>
  <si>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</si>
  <si>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</si>
  <si>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</si>
  <si>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</si>
  <si>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</si>
  <si>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</si>
  <si>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</si>
  <si>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</si>
  <si>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</si>
  <si>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</si>
  <si>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</si>
  <si>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</si>
  <si>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</si>
  <si>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</si>
  <si>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</si>
  <si>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</si>
  <si>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</si>
  <si>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</si>
  <si>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</si>
  <si>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</si>
  <si>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</si>
  <si>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</si>
  <si>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</si>
  <si>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</si>
  <si>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</si>
  <si>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</si>
  <si>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</si>
  <si>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</si>
  <si>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</si>
  <si>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</si>
  <si>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</si>
  <si>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</si>
  <si>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</si>
  <si>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</si>
  <si>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</si>
  <si>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</si>
  <si>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</si>
  <si>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</si>
  <si>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</si>
  <si>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</si>
  <si>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</si>
  <si>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</si>
  <si>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</si>
  <si>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</si>
  <si>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</si>
  <si>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</si>
  <si>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</si>
  <si>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</si>
  <si>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</si>
  <si>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</si>
  <si>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</si>
  <si>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</si>
  <si>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</si>
  <si>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</si>
  <si>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</si>
  <si>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</si>
  <si>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</si>
  <si>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</si>
  <si>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</si>
  <si>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</si>
  <si>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</si>
  <si>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</si>
  <si>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</si>
  <si>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</si>
  <si>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</si>
  <si>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</si>
  <si>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</si>
  <si>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</si>
  <si>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</si>
  <si>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</si>
  <si>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</si>
  <si>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</si>
  <si>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</si>
  <si>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</si>
  <si>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</si>
  <si>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</si>
  <si>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</si>
  <si>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</si>
  <si>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</si>
  <si>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</si>
  <si>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</si>
  <si>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</si>
  <si>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</si>
  <si>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</si>
  <si>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</si>
  <si>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</si>
  <si>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</si>
  <si>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</si>
  <si>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</si>
  <si>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</si>
  <si>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</si>
  <si>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</si>
  <si>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</si>
  <si>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</si>
  <si>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</si>
  <si>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</si>
  <si>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</si>
  <si>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</si>
  <si>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</si>
  <si>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</si>
  <si>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</si>
  <si>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</si>
  <si>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</si>
  <si>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</si>
  <si>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</si>
  <si>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</si>
  <si>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</si>
  <si>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</si>
  <si>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</si>
  <si>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</si>
  <si>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</si>
  <si>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</si>
  <si>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</si>
  <si>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</si>
  <si>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</si>
  <si>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</si>
  <si>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</si>
  <si>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</si>
  <si>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</si>
  <si>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</si>
  <si>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</si>
  <si>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</si>
  <si>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</si>
  <si>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</si>
  <si>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</si>
  <si>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</si>
  <si>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</si>
  <si>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</si>
  <si>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</si>
  <si>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</si>
  <si>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</si>
  <si>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</si>
  <si>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</si>
  <si>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</si>
  <si>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</si>
  <si>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</si>
  <si>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</si>
  <si>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</si>
  <si>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</si>
  <si>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</si>
  <si>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</si>
  <si>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</si>
  <si>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</si>
  <si>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</si>
  <si>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</si>
  <si>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</si>
  <si>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</si>
  <si>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</si>
  <si>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</si>
  <si>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</si>
  <si>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</si>
  <si>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</si>
  <si>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</si>
  <si>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</si>
  <si>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</si>
  <si>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</si>
  <si>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</si>
  <si>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</si>
  <si>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</si>
  <si>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</si>
  <si>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</si>
  <si>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</si>
  <si>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</si>
  <si>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</si>
  <si>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</si>
  <si>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</si>
  <si>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</si>
  <si>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</si>
  <si>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</si>
  <si>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</si>
  <si>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</si>
  <si>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</si>
  <si>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</si>
  <si>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</si>
  <si>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</si>
  <si>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</si>
  <si>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</si>
  <si>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</si>
  <si>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</si>
  <si>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</si>
  <si>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</si>
  <si>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</si>
  <si>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</si>
  <si>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</si>
  <si>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</si>
  <si>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</si>
  <si>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</si>
  <si>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</si>
  <si>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</si>
  <si>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</si>
  <si>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</si>
  <si>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</si>
  <si>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</si>
  <si>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</si>
  <si>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</si>
  <si>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</si>
  <si>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</si>
  <si>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</si>
  <si>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</si>
  <si>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</si>
  <si>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</si>
  <si>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</si>
  <si>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</si>
  <si>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</si>
  <si>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</si>
  <si>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</si>
  <si>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</si>
  <si>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</si>
  <si>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</si>
  <si>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</si>
  <si>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</si>
  <si>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</si>
  <si>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</si>
  <si>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</si>
  <si>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</si>
  <si>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</si>
  <si>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</si>
  <si>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</si>
  <si>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</si>
  <si>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</si>
  <si>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</si>
  <si>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</si>
  <si>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</si>
  <si>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</si>
  <si>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</si>
  <si>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</si>
  <si>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</si>
  <si>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</si>
  <si>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</si>
  <si>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</si>
  <si>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</si>
  <si>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</si>
  <si>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</si>
  <si>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</si>
  <si>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</si>
  <si>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</si>
  <si>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</si>
  <si>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</si>
  <si>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</si>
  <si>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</si>
  <si>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</si>
  <si>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</si>
  <si>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</si>
  <si>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</si>
  <si>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</si>
  <si>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</si>
  <si>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</si>
  <si>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</si>
  <si>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</si>
  <si>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</si>
  <si>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</si>
  <si>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</si>
  <si>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</si>
  <si>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</si>
  <si>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</si>
  <si>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</si>
  <si>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</si>
  <si>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</si>
  <si>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</si>
  <si>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</si>
  <si>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</si>
  <si>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</si>
  <si>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</si>
  <si>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</si>
  <si>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</si>
  <si>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</si>
  <si>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</si>
  <si>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</si>
  <si>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</si>
  <si>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</si>
  <si>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</si>
  <si>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</si>
  <si>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</si>
  <si>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</si>
  <si>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</si>
  <si>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</si>
  <si>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</si>
  <si>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</si>
  <si>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</si>
  <si>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</si>
  <si>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</si>
  <si>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</si>
  <si>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</si>
  <si>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</si>
  <si>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</si>
  <si>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</si>
  <si>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</si>
  <si>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</si>
  <si>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</si>
  <si>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</si>
  <si>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</si>
  <si>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</si>
  <si>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</si>
  <si>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</si>
  <si>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</si>
  <si>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</si>
  <si>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</si>
  <si>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</si>
  <si>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</si>
  <si>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</si>
  <si>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</si>
  <si>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</si>
  <si>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</si>
  <si>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</si>
  <si>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</si>
  <si>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</si>
  <si>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</si>
  <si>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</si>
  <si>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</si>
  <si>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</si>
  <si>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</si>
  <si>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</si>
  <si>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</si>
  <si>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</si>
  <si>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</si>
  <si>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</si>
  <si>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</si>
  <si>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</si>
  <si>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</si>
  <si>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</si>
  <si>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</si>
  <si>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</si>
  <si>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</si>
  <si>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</si>
  <si>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</si>
  <si>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</si>
  <si>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</si>
  <si>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</si>
  <si>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</si>
  <si>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</si>
  <si>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</si>
  <si>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</si>
  <si>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</si>
  <si>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</si>
  <si>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</si>
  <si>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</si>
  <si>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</si>
  <si>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</si>
  <si>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</si>
  <si>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</si>
  <si>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</si>
  <si>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</si>
  <si>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</si>
  <si>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</si>
  <si>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</si>
  <si>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</si>
  <si>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</si>
  <si>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</si>
  <si>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</si>
  <si>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</si>
  <si>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</si>
  <si>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</si>
  <si>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</si>
  <si>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</si>
  <si>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</si>
  <si>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</si>
  <si>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</si>
  <si>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</si>
  <si>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</si>
  <si>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</si>
  <si>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</si>
  <si>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</si>
  <si>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</si>
  <si>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</si>
  <si>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</si>
  <si>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</si>
  <si>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</si>
  <si>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</si>
  <si>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</si>
  <si>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</si>
  <si>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</si>
  <si>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</si>
  <si>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</si>
  <si>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</si>
  <si>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</si>
  <si>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</si>
  <si>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</si>
  <si>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</si>
  <si>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</si>
  <si>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</si>
  <si>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</si>
  <si>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</si>
  <si>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</si>
  <si>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</si>
  <si>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</si>
  <si>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</si>
  <si>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</si>
  <si>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</si>
  <si>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</si>
  <si>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</si>
  <si>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</si>
  <si>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</si>
  <si>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</si>
  <si>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</si>
  <si>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</si>
  <si>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</si>
  <si>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</si>
  <si>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</si>
  <si>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</si>
  <si>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</si>
  <si>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</si>
  <si>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</si>
  <si>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</si>
  <si>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</si>
  <si>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</si>
  <si>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</si>
  <si>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</si>
  <si>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</si>
  <si>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</si>
  <si>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</si>
  <si>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</si>
  <si>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</si>
  <si>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</si>
  <si>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</si>
  <si>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</si>
  <si>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</si>
  <si>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</si>
  <si>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</si>
  <si>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</si>
  <si>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</si>
  <si>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</si>
  <si>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</si>
  <si>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</si>
  <si>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</si>
  <si>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</si>
  <si>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</si>
  <si>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</si>
  <si>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</si>
  <si>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</si>
  <si>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</si>
  <si>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</si>
  <si>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</si>
  <si>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</si>
  <si>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</si>
  <si>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</si>
  <si>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</si>
  <si>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</si>
  <si>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</si>
  <si>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</si>
  <si>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</si>
  <si>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</si>
  <si>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</si>
  <si>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</si>
  <si>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</si>
  <si>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</si>
  <si>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</si>
  <si>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</si>
  <si>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</si>
  <si>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</si>
  <si>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</si>
  <si>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</si>
  <si>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</si>
  <si>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</si>
  <si>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</si>
  <si>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</si>
  <si>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</si>
  <si>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</si>
  <si>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</si>
  <si>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</si>
  <si>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</si>
  <si>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</si>
  <si>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</si>
  <si>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</si>
  <si>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</si>
  <si>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</si>
  <si>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</si>
  <si>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</si>
  <si>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</si>
  <si>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</si>
  <si>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</si>
  <si>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</si>
  <si>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</si>
  <si>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</si>
  <si>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</si>
  <si>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</si>
  <si>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</si>
  <si>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</si>
  <si>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</si>
  <si>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</si>
  <si>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</si>
  <si>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</si>
  <si>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</si>
  <si>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</si>
  <si>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</si>
  <si>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</si>
  <si>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</si>
  <si>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</si>
  <si>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</si>
  <si>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</si>
  <si>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</si>
  <si>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</si>
  <si>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</si>
  <si>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</si>
  <si>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</si>
  <si>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</si>
  <si>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</si>
  <si>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</si>
  <si>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</si>
  <si>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</si>
  <si>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</si>
  <si>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</si>
  <si>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</si>
  <si>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</si>
  <si>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</si>
  <si>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</si>
  <si>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</si>
  <si>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</si>
  <si>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</si>
  <si>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</si>
  <si>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</si>
  <si>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</si>
  <si>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</si>
  <si>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</si>
  <si>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</si>
  <si>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</si>
  <si>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</si>
  <si>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</si>
  <si>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</si>
  <si>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</si>
  <si>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</si>
  <si>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</si>
  <si>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</si>
  <si>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</si>
  <si>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</si>
  <si>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</si>
  <si>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</si>
  <si>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</si>
  <si>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</si>
  <si>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</si>
  <si>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</si>
  <si>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</si>
  <si>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</si>
  <si>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</si>
  <si>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</si>
  <si>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</si>
  <si>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</si>
  <si>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</si>
  <si>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</si>
  <si>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</si>
  <si>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</si>
  <si>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</si>
  <si>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</si>
  <si>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</si>
  <si>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</si>
  <si>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</si>
  <si>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</si>
  <si>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</si>
  <si>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</si>
  <si>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</si>
  <si>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</si>
  <si>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</si>
  <si>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</si>
  <si>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</si>
  <si>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</si>
  <si>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</si>
  <si>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</si>
  <si>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</si>
  <si>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</si>
  <si>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</si>
  <si>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</si>
  <si>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</si>
  <si>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</si>
  <si>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</si>
  <si>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</si>
  <si>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</si>
  <si>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</si>
  <si>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</si>
  <si>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</si>
  <si>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</si>
  <si>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</si>
  <si>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</si>
  <si>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</si>
  <si>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</si>
  <si>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</si>
  <si>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</si>
  <si>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</si>
  <si>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</si>
  <si>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</si>
  <si>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</si>
  <si>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</si>
  <si>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</si>
  <si>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</si>
  <si>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</si>
  <si>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</si>
  <si>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</si>
  <si>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</si>
  <si>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</si>
  <si>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</si>
  <si>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</si>
  <si>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</si>
  <si>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</si>
  <si>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</si>
  <si>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</si>
  <si>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</si>
  <si>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</si>
  <si>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</si>
  <si>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</si>
  <si>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</si>
  <si>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</si>
  <si>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</si>
  <si>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</si>
  <si>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</si>
  <si>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</si>
  <si>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</si>
  <si>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</si>
  <si>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</si>
  <si>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</si>
  <si>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</si>
  <si>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</si>
  <si>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</si>
  <si>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</si>
  <si>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</si>
  <si>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</si>
  <si>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</si>
  <si>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</si>
  <si>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</si>
  <si>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</si>
  <si>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</si>
  <si>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</si>
  <si>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</si>
  <si>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</si>
  <si>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</si>
  <si>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</si>
  <si>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</si>
  <si>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</si>
  <si>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</si>
  <si>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</si>
  <si>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</si>
  <si>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</si>
  <si>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</si>
  <si>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</si>
  <si>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</si>
  <si>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</si>
  <si>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</si>
  <si>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</si>
  <si>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</si>
  <si>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</si>
  <si>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</si>
  <si>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</si>
  <si>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</si>
  <si>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</si>
  <si>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</si>
  <si>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</si>
  <si>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</si>
  <si>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</si>
  <si>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</si>
  <si>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</si>
  <si>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</si>
  <si>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</si>
  <si>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</si>
  <si>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</si>
  <si>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</si>
  <si>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</si>
  <si>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</si>
  <si>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</si>
  <si>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</si>
  <si>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</si>
  <si>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</si>
  <si>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</si>
  <si>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</si>
  <si>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</si>
  <si>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</si>
  <si>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</si>
  <si>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</si>
  <si>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</si>
  <si>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</si>
  <si>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</si>
  <si>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</si>
  <si>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</si>
  <si>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</si>
  <si>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</si>
  <si>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</si>
  <si>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</si>
  <si>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</si>
  <si>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</si>
  <si>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</si>
  <si>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</si>
  <si>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</si>
  <si>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</si>
  <si>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</si>
  <si>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</si>
  <si>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</si>
  <si>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</si>
  <si>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</si>
  <si>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</si>
  <si>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</si>
  <si>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</si>
  <si>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</si>
  <si>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</si>
  <si>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</si>
  <si>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</si>
  <si>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</si>
  <si>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</si>
  <si>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</si>
  <si>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</si>
  <si>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</si>
  <si>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</si>
  <si>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</si>
  <si>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</si>
  <si>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</si>
  <si>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</si>
  <si>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</si>
  <si>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</si>
  <si>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</si>
  <si>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</si>
  <si>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</si>
  <si>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</si>
  <si>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</si>
  <si>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</si>
  <si>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</si>
  <si>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</si>
  <si>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</si>
  <si>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</si>
  <si>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</si>
  <si>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</si>
  <si>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</si>
  <si>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</si>
  <si>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</si>
  <si>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</si>
  <si>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</si>
  <si>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</si>
  <si>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</si>
  <si>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</si>
  <si>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</si>
  <si>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</si>
  <si>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</si>
  <si>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</si>
  <si>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</si>
  <si>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</si>
  <si>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</si>
  <si>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</si>
  <si>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</si>
  <si>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</si>
  <si>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</si>
  <si>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</si>
  <si>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</si>
  <si>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</si>
  <si>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</si>
  <si>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</si>
  <si>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</si>
  <si>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</si>
  <si>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</si>
  <si>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</si>
  <si>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</si>
  <si>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</si>
  <si>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</si>
  <si>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</si>
  <si>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</si>
  <si>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</si>
  <si>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</si>
  <si>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</si>
  <si>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</si>
  <si>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</si>
  <si>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</si>
  <si>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</si>
  <si>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</si>
  <si>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</si>
  <si>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</si>
  <si>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</si>
  <si>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</si>
  <si>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</si>
  <si>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</si>
  <si>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</si>
  <si>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</si>
  <si>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</si>
  <si>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</si>
  <si>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</si>
  <si>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</si>
  <si>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</si>
  <si>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</si>
  <si>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</si>
  <si>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</si>
  <si>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</si>
  <si>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</si>
  <si>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</si>
  <si>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</si>
  <si>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</si>
  <si>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</si>
  <si>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</si>
  <si>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</si>
  <si>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</si>
  <si>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</si>
  <si>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</si>
  <si>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</si>
  <si>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</si>
  <si>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</si>
  <si>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</si>
  <si>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</si>
  <si>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</si>
  <si>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</si>
  <si>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</si>
  <si>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</si>
  <si>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</si>
  <si>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</si>
  <si>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</si>
  <si>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</si>
  <si>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</si>
  <si>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</si>
  <si>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</si>
  <si>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</si>
  <si>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</si>
  <si>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</si>
  <si>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</si>
  <si>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</si>
  <si>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</si>
  <si>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</si>
  <si>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</si>
  <si>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</si>
  <si>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</si>
  <si>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</si>
  <si>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</si>
  <si>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</si>
  <si>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</si>
  <si>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</si>
  <si>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</si>
  <si>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</si>
  <si>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</si>
  <si>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</si>
  <si>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</si>
  <si>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</si>
  <si>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</si>
  <si>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</si>
  <si>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</si>
  <si>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</si>
  <si>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</si>
  <si>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</si>
  <si>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</si>
  <si>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</si>
  <si>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</si>
  <si>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</si>
  <si>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</si>
  <si>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</si>
  <si>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</si>
  <si>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</si>
  <si>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</si>
  <si>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</si>
  <si>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</si>
  <si>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</si>
  <si>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</si>
  <si>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</si>
  <si>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</si>
  <si>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</si>
  <si>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</si>
  <si>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</si>
  <si>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</si>
  <si>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</si>
  <si>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</si>
  <si>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</si>
  <si>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</si>
  <si>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</si>
  <si>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</si>
  <si>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</si>
  <si>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</si>
  <si>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</si>
  <si>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</si>
  <si>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</si>
  <si>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</si>
  <si>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</si>
  <si>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</si>
  <si>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</si>
  <si>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</si>
  <si>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</si>
  <si>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</si>
  <si>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</si>
  <si>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</si>
  <si>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</si>
  <si>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</si>
  <si>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</si>
  <si>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</si>
  <si>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</si>
  <si>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</si>
  <si>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</si>
  <si>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</si>
  <si>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</si>
  <si>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</si>
  <si>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</si>
  <si>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</si>
  <si>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</si>
  <si>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</si>
  <si>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</si>
  <si>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</si>
  <si>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</si>
  <si>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</si>
  <si>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</si>
  <si>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</si>
  <si>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</si>
  <si>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</si>
  <si>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</si>
  <si>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</si>
  <si>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</si>
  <si>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</si>
  <si>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</si>
  <si>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</si>
  <si>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</si>
  <si>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</si>
  <si>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</si>
  <si>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</si>
  <si>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</si>
  <si>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</si>
  <si>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</si>
  <si>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</si>
  <si>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</si>
  <si>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</si>
  <si>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</si>
  <si>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</si>
  <si>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</si>
  <si>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</si>
  <si>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</si>
  <si>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</si>
  <si>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</si>
  <si>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</si>
  <si>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</si>
  <si>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</si>
  <si>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</si>
  <si>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</si>
  <si>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</si>
  <si>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</si>
  <si>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</si>
  <si>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</si>
  <si>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</si>
  <si>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</si>
  <si>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</si>
  <si>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</si>
  <si>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</si>
  <si>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</si>
  <si>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</si>
  <si>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</si>
  <si>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</si>
  <si>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</si>
  <si>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</si>
  <si>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</si>
  <si>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</si>
  <si>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</si>
  <si>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</si>
  <si>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</si>
  <si>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</si>
  <si>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</si>
  <si>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</si>
  <si>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</si>
  <si>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</si>
  <si>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</si>
  <si>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</si>
  <si>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</si>
  <si>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</si>
  <si>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</si>
  <si>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</si>
  <si>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</si>
  <si>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</si>
  <si>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</si>
  <si>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</si>
  <si>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</si>
  <si>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</si>
  <si>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</si>
  <si>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</si>
  <si>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</si>
  <si>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</si>
  <si>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</si>
  <si>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</si>
  <si>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</si>
  <si>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</si>
  <si>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</si>
  <si>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</si>
  <si>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</si>
  <si>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</si>
  <si>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</si>
  <si>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</si>
  <si>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</si>
  <si>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</si>
  <si>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</si>
  <si>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</si>
  <si>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</si>
  <si>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</si>
  <si>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</si>
  <si>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</si>
  <si>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</si>
  <si>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</si>
  <si>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</si>
  <si>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</si>
  <si>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</si>
  <si>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</si>
  <si>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</si>
  <si>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</si>
  <si>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</si>
  <si>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</si>
  <si>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</si>
  <si>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</si>
  <si>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</si>
  <si>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</si>
  <si>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</si>
  <si>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</si>
  <si>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</si>
  <si>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</si>
  <si>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</si>
  <si>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</si>
  <si>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</si>
  <si>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</si>
  <si>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</si>
  <si>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</si>
  <si>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</si>
  <si>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</si>
  <si>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</si>
  <si>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</si>
  <si>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</si>
  <si>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</si>
  <si>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</si>
  <si>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</si>
  <si>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</si>
  <si>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</si>
  <si>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</si>
  <si>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</si>
  <si>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</si>
  <si>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</si>
  <si>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</si>
  <si>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</si>
  <si>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</si>
  <si>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</si>
  <si>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</si>
  <si>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</si>
  <si>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</si>
  <si>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</si>
  <si>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</si>
  <si>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</si>
  <si>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</si>
  <si>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</si>
  <si>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</si>
  <si>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</si>
  <si>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</si>
  <si>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</si>
  <si>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</si>
  <si>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</si>
  <si>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</si>
  <si>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</si>
  <si>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</si>
  <si>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</si>
  <si>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</si>
  <si>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</si>
  <si>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</si>
  <si>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</si>
  <si>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</si>
  <si>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</si>
  <si>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</si>
  <si>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</si>
  <si>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</si>
  <si>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</si>
  <si>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</si>
  <si>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</si>
  <si>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</si>
  <si>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</si>
  <si>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</si>
  <si>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</si>
  <si>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</si>
  <si>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</si>
  <si>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</si>
  <si>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</si>
  <si>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</si>
  <si>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</si>
  <si>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</si>
  <si>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</si>
  <si>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</si>
  <si>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</si>
  <si>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</si>
  <si>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</si>
  <si>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</si>
  <si>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</si>
  <si>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</si>
  <si>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</si>
  <si>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</si>
  <si>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</si>
  <si>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</si>
  <si>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</si>
  <si>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</si>
  <si>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</si>
  <si>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</si>
  <si>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</si>
  <si>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</si>
  <si>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</si>
  <si>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</si>
  <si>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</si>
  <si>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</si>
  <si>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</si>
  <si>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</si>
  <si>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</si>
  <si>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</si>
  <si>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</si>
  <si>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</si>
  <si>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</si>
  <si>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</si>
  <si>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</si>
  <si>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</si>
  <si>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</si>
  <si>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</si>
  <si>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</si>
  <si>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</si>
  <si>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</si>
  <si>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</si>
  <si>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</si>
  <si>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</si>
  <si>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</si>
  <si>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</si>
  <si>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</si>
  <si>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</si>
  <si>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</si>
  <si>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</si>
  <si>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</si>
  <si>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</si>
  <si>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</si>
  <si>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</si>
  <si>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</si>
  <si>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</si>
  <si>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</si>
  <si>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</si>
  <si>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</si>
  <si>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</si>
  <si>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</si>
  <si>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</si>
  <si>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</si>
  <si>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</si>
  <si>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</si>
  <si>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</si>
  <si>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</si>
  <si>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</si>
  <si>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</si>
  <si>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</si>
  <si>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</si>
  <si>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</si>
  <si>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</si>
  <si>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</si>
  <si>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</si>
  <si>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</si>
  <si>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</si>
  <si>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</si>
  <si>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</si>
  <si>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</si>
  <si>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</si>
  <si>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</si>
  <si>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</si>
  <si>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</si>
  <si>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</si>
  <si>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</si>
  <si>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</si>
  <si>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</si>
  <si>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</si>
  <si>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</si>
  <si>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</si>
  <si>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</si>
  <si>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</si>
  <si>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</si>
  <si>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</si>
  <si>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</si>
  <si>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</si>
  <si>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</si>
  <si>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</si>
  <si>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</si>
  <si>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</si>
  <si>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</si>
  <si>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</si>
  <si>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</si>
  <si>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</si>
  <si>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</si>
  <si>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</si>
  <si>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</si>
  <si>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</si>
  <si>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</si>
  <si>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</si>
  <si>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</si>
  <si>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</si>
  <si>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</si>
  <si>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</si>
  <si>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</si>
  <si>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</si>
  <si>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</si>
  <si>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</si>
  <si>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</si>
  <si>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</si>
  <si>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</si>
  <si>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</si>
  <si>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</si>
  <si>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</si>
  <si>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</si>
  <si>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</si>
  <si>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</si>
  <si>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</si>
  <si>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</si>
  <si>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</si>
  <si>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</si>
  <si>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</si>
  <si>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</si>
  <si>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</si>
  <si>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</si>
  <si>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</si>
  <si>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</si>
  <si>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</si>
  <si>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</si>
  <si>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</si>
  <si>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</si>
  <si>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</si>
  <si>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</si>
  <si>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</si>
  <si>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</si>
  <si>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</si>
  <si>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</si>
  <si>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</si>
  <si>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</si>
  <si>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</si>
  <si>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</si>
  <si>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</si>
  <si>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</si>
  <si>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</si>
  <si>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</si>
  <si>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</si>
  <si>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</si>
  <si>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</si>
  <si>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</si>
  <si>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</si>
  <si>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</si>
  <si>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</si>
  <si>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</si>
  <si>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</si>
  <si>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</si>
  <si>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</si>
  <si>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</si>
  <si>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</si>
  <si>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</si>
  <si>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</si>
  <si>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</si>
  <si>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</si>
  <si>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</si>
  <si>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</si>
  <si>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</si>
  <si>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</si>
  <si>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</si>
  <si>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</si>
  <si>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</si>
  <si>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</si>
  <si>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</si>
  <si>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</si>
  <si>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</si>
  <si>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</si>
  <si>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</si>
  <si>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</si>
  <si>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</si>
  <si>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</si>
  <si>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</si>
  <si>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</si>
  <si>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</si>
  <si>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</si>
  <si>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</si>
  <si>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</si>
  <si>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</si>
  <si>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</si>
  <si>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</si>
  <si>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</si>
  <si>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</si>
  <si>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</si>
  <si>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</si>
  <si>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</si>
  <si>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</si>
  <si>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</si>
  <si>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</si>
  <si>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</si>
  <si>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</si>
  <si>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</si>
  <si>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</si>
  <si>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</si>
  <si>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</si>
  <si>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</si>
  <si>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</si>
  <si>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</si>
  <si>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</si>
  <si>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</si>
  <si>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</si>
  <si>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</si>
  <si>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</si>
  <si>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</si>
  <si>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</si>
  <si>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</si>
  <si>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</si>
  <si>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</si>
  <si>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</si>
  <si>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</si>
  <si>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</si>
  <si>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</si>
  <si>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</si>
  <si>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</si>
  <si>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</si>
  <si>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</si>
  <si>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</si>
  <si>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</si>
  <si>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</si>
  <si>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</si>
  <si>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</si>
  <si>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</si>
  <si>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</si>
  <si>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</si>
  <si>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</si>
  <si>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</si>
  <si>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</si>
  <si>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</si>
  <si>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</si>
  <si>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</si>
  <si>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</si>
  <si>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</si>
  <si>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</si>
  <si>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</si>
  <si>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</si>
  <si>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</si>
  <si>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</si>
  <si>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</si>
  <si>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</si>
  <si>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</si>
  <si>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</si>
  <si>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</si>
  <si>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</si>
  <si>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</si>
  <si>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</si>
  <si>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</si>
  <si>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</si>
  <si>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</si>
  <si>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</si>
  <si>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</si>
  <si>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</si>
  <si>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</si>
  <si>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</si>
  <si>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</si>
  <si>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</si>
  <si>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</si>
  <si>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</si>
  <si>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</si>
  <si>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</si>
  <si>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</si>
  <si>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</si>
  <si>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</si>
  <si>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</si>
  <si>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</si>
  <si>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</si>
  <si>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</si>
  <si>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</si>
  <si>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</si>
  <si>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</si>
  <si>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</si>
  <si>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</si>
  <si>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</si>
  <si>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</si>
  <si>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</si>
  <si>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</si>
  <si>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</si>
  <si>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</si>
  <si>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</si>
  <si>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</si>
  <si>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</si>
  <si>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</si>
  <si>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</si>
  <si>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</si>
  <si>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</si>
  <si>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</si>
  <si>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</si>
  <si>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</si>
  <si>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</si>
  <si>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</si>
  <si>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</si>
  <si>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</si>
  <si>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</si>
  <si>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</si>
  <si>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</si>
  <si>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</si>
  <si>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</si>
  <si>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</si>
  <si>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</si>
  <si>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</si>
  <si>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</si>
  <si>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</si>
  <si>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</si>
  <si>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</si>
  <si>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</si>
  <si>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</si>
  <si>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</si>
  <si>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</si>
  <si>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</si>
  <si>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</si>
  <si>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</si>
  <si>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</si>
  <si>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</si>
  <si>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</si>
  <si>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</si>
  <si>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</si>
  <si>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</si>
  <si>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</si>
  <si>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</si>
  <si>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</si>
  <si>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</si>
  <si>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</si>
  <si>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</si>
  <si>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</si>
  <si>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</si>
  <si>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</si>
  <si>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</si>
  <si>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</si>
  <si>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</si>
  <si>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</si>
  <si>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</si>
  <si>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</si>
  <si>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</si>
  <si>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</si>
  <si>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</si>
  <si>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</si>
  <si>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</si>
  <si>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</si>
  <si>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</si>
  <si>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</si>
  <si>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</si>
  <si>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</si>
  <si>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</si>
  <si>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</si>
  <si>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</si>
  <si>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</si>
  <si>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</si>
  <si>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</si>
  <si>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</si>
  <si>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</si>
  <si>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</si>
  <si>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</si>
  <si>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</si>
  <si>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</si>
  <si>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</si>
  <si>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</si>
  <si>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</si>
  <si>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</si>
  <si>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</si>
  <si>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</si>
  <si>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</si>
  <si>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</si>
  <si>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</si>
  <si>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</si>
  <si>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</si>
  <si>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</si>
  <si>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</si>
  <si>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</si>
  <si>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</si>
  <si>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</si>
  <si>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</si>
  <si>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</si>
  <si>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</si>
  <si>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</si>
  <si>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</si>
  <si>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</si>
  <si>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</si>
  <si>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</si>
  <si>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</si>
  <si>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</si>
  <si>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</si>
  <si>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</si>
  <si>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</si>
  <si>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</si>
  <si>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</si>
  <si>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</si>
  <si>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</si>
  <si>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</si>
  <si>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</si>
  <si>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</si>
  <si>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</si>
  <si>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</si>
  <si>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</si>
  <si>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</si>
  <si>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</si>
  <si>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</si>
  <si>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</si>
  <si>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</si>
  <si>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</si>
  <si>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</si>
  <si>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</si>
  <si>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</si>
  <si>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</si>
  <si>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</si>
  <si>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</si>
  <si>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</si>
  <si>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</si>
  <si>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</si>
  <si>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</si>
  <si>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</si>
  <si>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</si>
  <si>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</si>
  <si>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</si>
  <si>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</si>
  <si>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</si>
  <si>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</si>
  <si>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</si>
  <si>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</si>
  <si>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</si>
  <si>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</si>
  <si>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</si>
  <si>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</si>
  <si>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</si>
  <si>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</si>
  <si>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</si>
  <si>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</si>
  <si>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</si>
  <si>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</si>
  <si>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</si>
  <si>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</si>
  <si>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</si>
  <si>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</si>
  <si>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</si>
  <si>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</si>
  <si>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</si>
  <si>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</si>
  <si>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</si>
  <si>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</si>
  <si>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</si>
  <si>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</si>
  <si>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</si>
  <si>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</si>
  <si>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</si>
  <si>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</si>
  <si>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</si>
  <si>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</si>
  <si>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</si>
  <si>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</si>
  <si>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</si>
  <si>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</si>
  <si>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</si>
  <si>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</si>
  <si>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</si>
  <si>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</si>
  <si>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</si>
  <si>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</si>
  <si>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</si>
  <si>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</si>
  <si>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</si>
  <si>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</si>
  <si>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</si>
  <si>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</si>
  <si>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</si>
  <si>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</si>
  <si>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</si>
  <si>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</si>
  <si>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</si>
  <si>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</si>
  <si>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</si>
  <si>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</si>
  <si>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</si>
  <si>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</si>
  <si>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</si>
  <si>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</si>
  <si>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</si>
  <si>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</si>
  <si>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</si>
  <si>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</si>
  <si>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</si>
  <si>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</si>
  <si>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</si>
  <si>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</si>
  <si>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</si>
  <si>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</si>
  <si>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</si>
  <si>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</si>
  <si>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</si>
  <si>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</si>
  <si>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</si>
  <si>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</si>
  <si>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</si>
  <si>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</si>
  <si>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</si>
  <si>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</si>
  <si>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</si>
  <si>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</si>
  <si>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</si>
  <si>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</si>
  <si>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</si>
  <si>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</si>
  <si>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</si>
  <si>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</si>
  <si>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</si>
  <si>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</si>
  <si>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</si>
  <si>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</si>
  <si>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</si>
  <si>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</si>
  <si>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</si>
  <si>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</si>
  <si>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</si>
  <si>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</si>
  <si>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</si>
  <si>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</si>
  <si>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</si>
  <si>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</si>
  <si>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</si>
  <si>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</si>
  <si>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</si>
  <si>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</si>
  <si>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</si>
  <si>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</si>
  <si>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</si>
  <si>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</si>
  <si>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</si>
  <si>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</si>
  <si>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</si>
  <si>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</si>
  <si>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</si>
  <si>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</si>
  <si>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</si>
  <si>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</si>
  <si>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</si>
  <si>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</si>
  <si>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</si>
  <si>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</si>
  <si>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</si>
  <si>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</si>
  <si>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</si>
  <si>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</si>
  <si>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</si>
  <si>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</si>
  <si>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</si>
  <si>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</si>
  <si>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</si>
  <si>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</si>
  <si>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</si>
  <si>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</si>
  <si>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</si>
  <si>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</si>
  <si>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</si>
  <si>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</si>
  <si>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</si>
  <si>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</si>
  <si>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</si>
  <si>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</si>
  <si>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</si>
  <si>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</si>
  <si>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</si>
  <si>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</si>
  <si>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</si>
  <si>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</si>
  <si>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</si>
  <si>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</si>
  <si>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</si>
  <si>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</si>
  <si>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</si>
  <si>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</si>
  <si>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</si>
  <si>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</si>
  <si>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</si>
  <si>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</si>
  <si>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</si>
  <si>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</si>
  <si>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</si>
  <si>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</si>
  <si>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</si>
  <si>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</si>
  <si>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</si>
  <si>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</si>
  <si>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</si>
  <si>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</si>
  <si>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</si>
  <si>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</si>
  <si>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</si>
  <si>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</si>
  <si>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</si>
  <si>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</si>
  <si>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</si>
  <si>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</si>
  <si>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</si>
  <si>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</si>
  <si>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</si>
  <si>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</si>
  <si>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</si>
  <si>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</si>
  <si>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</si>
  <si>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</si>
  <si>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</si>
  <si>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</si>
  <si>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</si>
  <si>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</si>
  <si>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</si>
  <si>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</si>
  <si>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</si>
  <si>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</si>
  <si>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</si>
  <si>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</si>
  <si>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</si>
  <si>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</si>
  <si>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</si>
  <si>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</si>
  <si>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</si>
  <si>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</si>
  <si>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</si>
  <si>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</si>
  <si>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</si>
  <si>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</si>
  <si>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</si>
  <si>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</si>
  <si>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</si>
  <si>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</si>
  <si>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</si>
  <si>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</si>
  <si>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</si>
  <si>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</si>
  <si>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</si>
  <si>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</si>
  <si>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</si>
  <si>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</si>
  <si>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</si>
  <si>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</si>
  <si>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</si>
  <si>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</si>
  <si>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</si>
  <si>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</si>
  <si>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</si>
  <si>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</si>
  <si>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</si>
  <si>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</si>
  <si>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</si>
  <si>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</si>
  <si>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</si>
  <si>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</si>
  <si>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</si>
  <si>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</si>
  <si>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</si>
  <si>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</si>
  <si>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</si>
  <si>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</si>
  <si>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</si>
  <si>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</si>
  <si>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</si>
  <si>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</si>
  <si>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</si>
  <si>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</si>
  <si>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</si>
  <si>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</si>
  <si>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</si>
  <si>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</si>
  <si>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</si>
  <si>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</si>
  <si>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</si>
  <si>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</si>
  <si>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</si>
  <si>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</si>
  <si>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</si>
  <si>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</si>
  <si>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</si>
  <si>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</si>
  <si>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</si>
  <si>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</si>
  <si>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</si>
  <si>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</si>
  <si>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</si>
  <si>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</si>
  <si>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</si>
  <si>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</si>
  <si>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</si>
  <si>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</si>
  <si>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</si>
  <si>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</si>
  <si>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</si>
  <si>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</si>
  <si>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</si>
  <si>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</si>
  <si>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</si>
  <si>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</si>
  <si>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</si>
  <si>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</si>
  <si>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</si>
  <si>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</si>
  <si>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</si>
  <si>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</si>
  <si>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</si>
  <si>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</si>
  <si>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</si>
  <si>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</si>
  <si>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</si>
  <si>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</si>
  <si>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</si>
  <si>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</si>
  <si>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</si>
  <si>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</si>
  <si>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</si>
  <si>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</si>
  <si>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</si>
  <si>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</si>
  <si>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</si>
  <si>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</si>
  <si>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</si>
  <si>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</si>
  <si>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</si>
  <si>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</si>
  <si>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</si>
  <si>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</si>
  <si>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</si>
  <si>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</si>
  <si>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</si>
  <si>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</si>
  <si>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</si>
  <si>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</si>
  <si>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</si>
  <si>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</si>
  <si>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</si>
  <si>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</si>
  <si>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</si>
  <si>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</si>
  <si>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</si>
  <si>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</si>
  <si>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</si>
  <si>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</si>
  <si>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</si>
  <si>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</si>
  <si>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</si>
  <si>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</si>
  <si>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</si>
  <si>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</si>
  <si>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</si>
  <si>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</si>
  <si>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</si>
  <si>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</si>
  <si>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</si>
  <si>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</si>
  <si>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</si>
  <si>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</si>
  <si>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</si>
  <si>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</si>
  <si>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</si>
  <si>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</si>
  <si>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</si>
  <si>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</si>
  <si>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</si>
  <si>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</si>
  <si>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</si>
  <si>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</si>
  <si>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</si>
  <si>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</si>
  <si>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</si>
  <si>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</si>
  <si>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</si>
  <si>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</si>
  <si>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</si>
  <si>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</si>
  <si>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</si>
  <si>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</si>
  <si>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</si>
  <si>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</si>
  <si>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</si>
  <si>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</si>
  <si>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</si>
  <si>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</si>
  <si>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</si>
  <si>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</si>
  <si>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</si>
  <si>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</si>
  <si>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</si>
  <si>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</si>
  <si>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</si>
  <si>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</si>
  <si>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</si>
  <si>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</si>
  <si>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</si>
  <si>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</si>
  <si>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</si>
  <si>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</si>
  <si>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</si>
  <si>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</si>
  <si>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</si>
  <si>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</si>
  <si>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</si>
  <si>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</si>
  <si>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</si>
  <si>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</si>
  <si>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</si>
  <si>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</si>
  <si>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</si>
  <si>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</si>
  <si>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</si>
  <si>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</si>
  <si>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</si>
  <si>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</si>
  <si>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</si>
  <si>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</si>
  <si>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</si>
  <si>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</si>
  <si>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</si>
  <si>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</si>
  <si>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</si>
  <si>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</si>
  <si>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</si>
  <si>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</si>
  <si>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</si>
  <si>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</si>
  <si>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</si>
  <si>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</si>
  <si>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</si>
  <si>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</si>
  <si>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</si>
  <si>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</si>
  <si>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</si>
  <si>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</si>
  <si>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</si>
  <si>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</si>
  <si>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</si>
  <si>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</si>
  <si>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</si>
  <si>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</si>
  <si>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</si>
  <si>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</si>
  <si>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</si>
  <si>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</si>
  <si>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</si>
  <si>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</si>
  <si>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</si>
  <si>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</si>
  <si>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</si>
  <si>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</si>
  <si>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</si>
  <si>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</si>
  <si>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</si>
  <si>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</si>
  <si>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</si>
  <si>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</si>
  <si>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</si>
  <si>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</si>
  <si>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</si>
  <si>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</si>
  <si>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</si>
  <si>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</si>
  <si>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</si>
  <si>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</si>
  <si>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</si>
  <si>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</si>
  <si>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</si>
  <si>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</si>
  <si>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</si>
  <si>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</si>
  <si>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</si>
  <si>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</si>
  <si>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</si>
  <si>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</si>
  <si>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</si>
  <si>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</si>
  <si>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</si>
  <si>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</si>
  <si>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</si>
  <si>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</si>
  <si>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</si>
  <si>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</si>
  <si>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</si>
  <si>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</si>
  <si>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</si>
  <si>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</si>
  <si>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</si>
  <si>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</si>
  <si>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</si>
  <si>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</si>
  <si>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</si>
  <si>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</si>
  <si>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</si>
  <si>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</si>
  <si>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</si>
  <si>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</si>
  <si>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</si>
  <si>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</si>
  <si>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</si>
  <si>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</si>
  <si>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</si>
  <si>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</si>
  <si>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</si>
  <si>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</si>
  <si>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</si>
  <si>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</si>
  <si>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</si>
  <si>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</si>
  <si>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</si>
  <si>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</si>
  <si>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</si>
  <si>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</si>
  <si>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</si>
  <si>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</si>
  <si>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</si>
  <si>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</si>
  <si>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</si>
  <si>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</si>
  <si>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</si>
  <si>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</si>
  <si>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</si>
  <si>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</si>
  <si>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</si>
  <si>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</si>
  <si>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</si>
  <si>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</si>
  <si>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</si>
  <si>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</si>
  <si>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</si>
  <si>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</si>
  <si>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</si>
  <si>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</si>
  <si>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</si>
  <si>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</si>
  <si>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</si>
  <si>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</si>
  <si>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</si>
  <si>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</si>
  <si>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</si>
  <si>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</si>
  <si>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</si>
  <si>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</si>
  <si>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</si>
  <si>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</si>
  <si>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</si>
  <si>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</si>
  <si>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</si>
  <si>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</si>
  <si>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</si>
  <si>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</si>
  <si>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</si>
  <si>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</si>
  <si>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</si>
  <si>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</si>
  <si>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</si>
  <si>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</si>
  <si>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</si>
  <si>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</si>
  <si>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</si>
  <si>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</si>
  <si>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</si>
  <si>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</si>
  <si>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</si>
  <si>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</si>
  <si>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</si>
  <si>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</si>
  <si>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</si>
  <si>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</si>
  <si>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</si>
  <si>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</si>
  <si>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</si>
  <si>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</si>
  <si>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</si>
  <si>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</si>
  <si>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</si>
  <si>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</si>
  <si>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</si>
  <si>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</si>
  <si>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</si>
  <si>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</si>
  <si>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</si>
  <si>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</si>
  <si>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</si>
  <si>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</si>
  <si>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</si>
  <si>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</si>
  <si>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</si>
  <si>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</si>
  <si>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</si>
  <si>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</si>
  <si>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</si>
  <si>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</si>
  <si>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</si>
  <si>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</si>
  <si>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</si>
  <si>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</si>
  <si>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</si>
  <si>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</si>
  <si>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</si>
  <si>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</si>
  <si>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</si>
  <si>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</si>
  <si>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</si>
  <si>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</si>
  <si>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</si>
  <si>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</si>
  <si>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</si>
  <si>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</si>
  <si>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</si>
  <si>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</si>
  <si>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</si>
  <si>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</si>
  <si>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</si>
  <si>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</si>
  <si>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</si>
  <si>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</si>
  <si>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</si>
  <si>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</si>
  <si>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</si>
  <si>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</si>
  <si>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</si>
  <si>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</si>
  <si>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</si>
  <si>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</si>
  <si>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</si>
  <si>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</si>
  <si>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</si>
  <si>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</si>
  <si>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</si>
  <si>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</si>
  <si>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</si>
  <si>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</si>
  <si>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</si>
  <si>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</si>
  <si>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</si>
  <si>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</si>
  <si>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</si>
  <si>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</si>
  <si>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</si>
  <si>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</si>
  <si>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</si>
  <si>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</si>
  <si>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</si>
  <si>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</si>
  <si>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</si>
  <si>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</si>
  <si>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</si>
  <si>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</si>
  <si>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</si>
  <si>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</si>
  <si>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</si>
  <si>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</si>
  <si>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</si>
  <si>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</si>
  <si>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</si>
  <si>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</si>
  <si>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</si>
  <si>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</si>
  <si>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</si>
  <si>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</si>
  <si>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</si>
  <si>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</si>
  <si>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</si>
  <si>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</si>
  <si>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</si>
  <si>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</si>
  <si>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</si>
  <si>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</si>
  <si>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</si>
  <si>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</si>
  <si>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</si>
  <si>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</si>
  <si>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</si>
  <si>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</si>
  <si>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</si>
  <si>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</si>
  <si>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</si>
  <si>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</si>
  <si>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</si>
  <si>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</si>
  <si>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</si>
  <si>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</si>
  <si>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</si>
  <si>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</si>
  <si>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</si>
  <si>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</si>
  <si>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</si>
  <si>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</si>
  <si>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</si>
  <si>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</si>
  <si>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</si>
  <si>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</si>
  <si>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</si>
  <si>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</si>
  <si>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</si>
  <si>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</si>
  <si>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</si>
  <si>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</si>
  <si>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</si>
  <si>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</si>
  <si>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</si>
  <si>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</si>
  <si>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</si>
  <si>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</si>
  <si>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</si>
  <si>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</si>
  <si>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</si>
  <si>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</si>
  <si>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</si>
  <si>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</si>
  <si>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</si>
  <si>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</si>
  <si>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</si>
  <si>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</si>
  <si>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</si>
  <si>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</si>
  <si>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</si>
  <si>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</si>
  <si>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</si>
  <si>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</si>
  <si>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</si>
  <si>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</si>
  <si>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</si>
  <si>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</si>
  <si>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</si>
  <si>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</si>
  <si>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</si>
  <si>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</si>
  <si>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</si>
  <si>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</si>
  <si>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</si>
  <si>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</si>
  <si>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</si>
  <si>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</si>
  <si>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</si>
  <si>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</si>
  <si>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</si>
  <si>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</si>
  <si>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</si>
  <si>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</si>
  <si>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</si>
  <si>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</si>
  <si>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</si>
  <si>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</si>
  <si>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</si>
  <si>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</si>
  <si>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</si>
  <si>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</si>
  <si>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</si>
  <si>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</si>
  <si>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</si>
  <si>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</si>
  <si>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</si>
  <si>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</si>
  <si>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</si>
  <si>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</si>
  <si>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</si>
  <si>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</si>
  <si>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</si>
  <si>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</si>
  <si>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</si>
  <si>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</si>
  <si>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</si>
  <si>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</si>
  <si>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</si>
  <si>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</si>
  <si>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</si>
  <si>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</si>
  <si>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</si>
  <si>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</si>
  <si>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</si>
  <si>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</si>
  <si>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</si>
  <si>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</si>
  <si>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</si>
  <si>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</si>
  <si>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</si>
  <si>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</si>
  <si>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</si>
  <si>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</si>
  <si>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</si>
  <si>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</si>
  <si>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</si>
  <si>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</si>
  <si>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</si>
  <si>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</si>
  <si>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</si>
  <si>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</si>
  <si>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</si>
  <si>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</si>
  <si>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</si>
  <si>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</si>
  <si>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</si>
  <si>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</si>
  <si>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</si>
  <si>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</si>
  <si>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</si>
  <si>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</si>
  <si>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</si>
  <si>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</si>
  <si>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</si>
  <si>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</si>
  <si>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</si>
  <si>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</si>
  <si>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</si>
  <si>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</si>
  <si>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</si>
  <si>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</si>
  <si>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</si>
  <si>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</si>
  <si>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</si>
  <si>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</si>
  <si>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</si>
  <si>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</si>
  <si>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</si>
  <si>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</si>
  <si>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</si>
  <si>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</si>
  <si>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</si>
  <si>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</si>
  <si>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</si>
  <si>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</si>
  <si>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</si>
  <si>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</si>
  <si>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</si>
  <si>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</si>
  <si>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</si>
  <si>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</si>
  <si>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</si>
  <si>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</si>
  <si>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</si>
  <si>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</si>
  <si>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</si>
  <si>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</si>
  <si>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</si>
  <si>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</si>
  <si>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</si>
  <si>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</si>
  <si>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</si>
  <si>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</si>
  <si>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</si>
  <si>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</si>
  <si>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</si>
  <si>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</si>
  <si>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</si>
  <si>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</si>
  <si>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</si>
  <si>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</si>
  <si>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</si>
  <si>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</si>
  <si>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</si>
  <si>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</si>
  <si>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</si>
  <si>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</si>
  <si>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</si>
  <si>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</si>
  <si>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</si>
  <si>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</si>
  <si>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</si>
  <si>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</si>
  <si>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</si>
  <si>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</si>
  <si>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</si>
  <si>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</si>
  <si>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</si>
  <si>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</si>
  <si>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</si>
  <si>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</si>
  <si>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</si>
  <si>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</si>
  <si>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</si>
  <si>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</si>
  <si>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</si>
  <si>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</si>
  <si>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</si>
  <si>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</si>
  <si>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</si>
  <si>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</si>
  <si>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</si>
  <si>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</si>
  <si>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</si>
  <si>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</si>
  <si>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</si>
  <si>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</si>
  <si>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</si>
  <si>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</si>
  <si>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</si>
  <si>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</si>
  <si>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</si>
  <si>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</si>
  <si>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</si>
  <si>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</si>
  <si>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</si>
  <si>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</si>
  <si>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</si>
  <si>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</si>
  <si>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</si>
  <si>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</si>
  <si>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</si>
  <si>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</si>
  <si>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</si>
  <si>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</si>
  <si>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</si>
  <si>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</si>
  <si>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</si>
  <si>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</si>
  <si>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</si>
  <si>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</si>
  <si>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</si>
  <si>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</si>
  <si>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</si>
  <si>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</si>
  <si>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</si>
  <si>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</si>
  <si>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</si>
  <si>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</si>
  <si>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</si>
  <si>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</si>
  <si>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</si>
  <si>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</si>
  <si>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</si>
  <si>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</si>
  <si>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</si>
  <si>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</si>
  <si>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</si>
  <si>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</si>
  <si>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</si>
  <si>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</si>
  <si>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</si>
  <si>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</si>
  <si>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</si>
  <si>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</si>
  <si>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</si>
  <si>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</si>
  <si>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</si>
  <si>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</si>
  <si>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</si>
  <si>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</si>
  <si>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</si>
  <si>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</si>
  <si>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</si>
  <si>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</si>
  <si>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</si>
  <si>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</si>
  <si>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</si>
  <si>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</si>
  <si>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</si>
  <si>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</si>
  <si>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</si>
  <si>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</si>
  <si>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</si>
  <si>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</si>
  <si>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</si>
  <si>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</si>
  <si>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</si>
  <si>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</si>
  <si>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</si>
  <si>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</si>
  <si>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</si>
  <si>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</si>
  <si>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</si>
  <si>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</si>
  <si>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</si>
  <si>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</si>
  <si>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</si>
  <si>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</si>
  <si>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</si>
  <si>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</si>
  <si>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</si>
  <si>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</si>
  <si>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</si>
  <si>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</si>
  <si>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</si>
  <si>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</si>
  <si>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</si>
  <si>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</si>
  <si>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</si>
  <si>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</si>
  <si>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</si>
  <si>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</si>
  <si>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</si>
  <si>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</si>
  <si>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</si>
  <si>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</si>
  <si>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</si>
  <si>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</si>
  <si>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</si>
  <si>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</si>
  <si>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</si>
  <si>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</si>
  <si>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</si>
  <si>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</si>
  <si>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</si>
  <si>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</si>
  <si>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</si>
  <si>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</si>
  <si>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</si>
  <si>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</si>
  <si>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</si>
  <si>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</si>
  <si>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</si>
  <si>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</si>
  <si>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</si>
  <si>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</si>
  <si>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</si>
  <si>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</si>
  <si>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</si>
  <si>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</si>
  <si>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</si>
  <si>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</si>
  <si>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</si>
  <si>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</si>
  <si>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</si>
  <si>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</si>
  <si>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</si>
  <si>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</si>
  <si>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</si>
  <si>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</si>
  <si>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</si>
  <si>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</si>
  <si>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</si>
  <si>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</si>
  <si>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</si>
  <si>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</si>
  <si>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</si>
  <si>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</si>
  <si>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</si>
  <si>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</si>
  <si>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</si>
  <si>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</si>
  <si>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</si>
  <si>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</si>
  <si>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</si>
  <si>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</si>
  <si>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</si>
  <si>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</si>
  <si>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</si>
  <si>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</si>
  <si>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</si>
  <si>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</si>
  <si>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</si>
  <si>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</si>
  <si>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</si>
  <si>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</si>
  <si>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</si>
  <si>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</si>
  <si>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</si>
  <si>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</si>
  <si>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</si>
  <si>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</si>
  <si>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</si>
  <si>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</si>
  <si>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</si>
  <si>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</si>
  <si>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</si>
  <si>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</si>
  <si>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</si>
  <si>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</si>
  <si>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</si>
  <si>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</si>
  <si>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</si>
  <si>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</si>
  <si>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</si>
  <si>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</si>
  <si>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</si>
  <si>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</si>
  <si>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</si>
  <si>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</si>
  <si>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</si>
  <si>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</si>
  <si>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</si>
  <si>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</si>
  <si>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</si>
  <si>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</si>
  <si>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</si>
  <si>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</si>
  <si>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</si>
  <si>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</si>
  <si>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</si>
  <si>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</si>
  <si>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</si>
  <si>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</si>
  <si>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</si>
  <si>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</si>
  <si>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</si>
  <si>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</si>
  <si>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</si>
  <si>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</si>
  <si>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</si>
  <si>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</si>
  <si>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</si>
  <si>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</si>
  <si>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</si>
  <si>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</si>
  <si>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</si>
  <si>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</si>
  <si>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</si>
  <si>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</si>
  <si>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</si>
  <si>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</si>
  <si>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</si>
  <si>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</si>
  <si>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</si>
  <si>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</si>
  <si>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</si>
  <si>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</si>
  <si>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</si>
  <si>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</si>
  <si>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</si>
  <si>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</si>
  <si>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</si>
  <si>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</si>
  <si>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</si>
  <si>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</si>
  <si>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</si>
  <si>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</si>
  <si>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</si>
  <si>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</si>
  <si>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</si>
  <si>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</si>
  <si>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</si>
  <si>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</si>
  <si>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</si>
  <si>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</si>
  <si>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</si>
  <si>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</si>
  <si>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</si>
  <si>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</si>
  <si>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</si>
  <si>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</si>
  <si>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</si>
  <si>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</si>
  <si>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</si>
  <si>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</si>
  <si>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</si>
  <si>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</si>
  <si>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</si>
  <si>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</si>
  <si>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</si>
  <si>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</si>
  <si>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</si>
  <si>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</si>
  <si>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</si>
  <si>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</si>
  <si>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</si>
  <si>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</si>
  <si>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</si>
  <si>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</si>
  <si>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</si>
  <si>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</si>
  <si>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</si>
  <si>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</si>
  <si>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</si>
  <si>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</si>
  <si>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</si>
  <si>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</si>
  <si>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</si>
  <si>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</si>
  <si>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</si>
  <si>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</si>
  <si>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</si>
  <si>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</si>
  <si>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</si>
  <si>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</si>
  <si>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</si>
  <si>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</si>
  <si>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</si>
  <si>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</si>
  <si>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</si>
  <si>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</si>
  <si>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</si>
  <si>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</si>
  <si>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</si>
  <si>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</si>
  <si>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</si>
  <si>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</si>
  <si>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</si>
  <si>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</si>
  <si>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</si>
  <si>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</si>
  <si>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</si>
  <si>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</si>
  <si>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</si>
  <si>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</si>
  <si>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</si>
  <si>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</si>
  <si>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</si>
  <si>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</si>
  <si>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</si>
  <si>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</si>
  <si>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</si>
  <si>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</si>
  <si>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</si>
  <si>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</si>
  <si>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</si>
  <si>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</si>
  <si>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</si>
  <si>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</si>
  <si>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</si>
  <si>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</si>
  <si>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</si>
  <si>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</si>
  <si>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</si>
  <si>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</si>
  <si>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</si>
  <si>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</si>
  <si>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</si>
  <si>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</si>
  <si>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</si>
  <si>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</si>
  <si>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</si>
  <si>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</si>
  <si>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</si>
  <si>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</si>
  <si>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</si>
  <si>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</si>
  <si>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</si>
  <si>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</si>
  <si>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</si>
  <si>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</si>
  <si>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</si>
  <si>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</si>
  <si>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</si>
  <si>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</si>
  <si>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</si>
  <si>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</si>
  <si>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</si>
  <si>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</si>
  <si>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</si>
  <si>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</si>
  <si>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</si>
  <si>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</si>
  <si>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</si>
  <si>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</si>
  <si>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</si>
  <si>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</si>
  <si>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</si>
  <si>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</si>
  <si>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</si>
  <si>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</si>
  <si>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</si>
  <si>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</si>
  <si>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</si>
  <si>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</si>
  <si>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</si>
  <si>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</si>
  <si>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</si>
  <si>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</si>
  <si>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</si>
  <si>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</si>
  <si>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</si>
  <si>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</si>
  <si>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</si>
  <si>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</si>
  <si>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</si>
  <si>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</si>
  <si>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</si>
  <si>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</si>
  <si>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</si>
  <si>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</si>
  <si>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</si>
  <si>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</si>
  <si>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</si>
  <si>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</si>
  <si>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</si>
  <si>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</si>
  <si>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</si>
  <si>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</si>
  <si>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</si>
  <si>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</si>
  <si>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</si>
  <si>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</si>
  <si>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</si>
  <si>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</si>
  <si>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</si>
  <si>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</si>
  <si>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</si>
  <si>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</si>
  <si>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</si>
  <si>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</si>
  <si>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</si>
  <si>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</si>
  <si>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</si>
  <si>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</si>
  <si>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</si>
  <si>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</si>
  <si>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</si>
  <si>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</si>
  <si>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</si>
  <si>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</si>
  <si>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</si>
  <si>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</si>
  <si>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</si>
  <si>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</si>
  <si>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</si>
  <si>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</si>
  <si>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</si>
  <si>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</si>
  <si>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</si>
  <si>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</si>
  <si>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</si>
  <si>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</si>
  <si>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</si>
  <si>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</si>
  <si>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</si>
  <si>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</si>
  <si>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</si>
  <si>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</si>
  <si>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</si>
  <si>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</si>
  <si>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</si>
  <si>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</si>
  <si>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</si>
  <si>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</si>
  <si>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</si>
  <si>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</si>
  <si>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</si>
  <si>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</si>
  <si>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</si>
  <si>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</si>
  <si>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</si>
  <si>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</si>
  <si>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</si>
  <si>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</si>
  <si>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</si>
  <si>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</si>
  <si>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</si>
  <si>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</si>
  <si>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</si>
  <si>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</si>
  <si>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</si>
  <si>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</si>
  <si>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</si>
  <si>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</si>
  <si>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</si>
  <si>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</si>
  <si>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</si>
  <si>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</si>
  <si>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</si>
  <si>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</si>
  <si>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</si>
  <si>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</si>
  <si>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</si>
  <si>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</si>
  <si>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</si>
  <si>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</si>
  <si>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</si>
  <si>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</si>
  <si>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</si>
  <si>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</si>
  <si>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</si>
  <si>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</si>
  <si>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</si>
  <si>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</si>
  <si>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</si>
  <si>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</si>
  <si>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</si>
  <si>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</si>
  <si>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</si>
  <si>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</si>
  <si>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</si>
  <si>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</si>
  <si>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</si>
  <si>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</si>
  <si>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</si>
  <si>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</si>
  <si>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</si>
  <si>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</si>
  <si>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</si>
  <si>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</si>
  <si>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</si>
  <si>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</si>
  <si>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</si>
  <si>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</si>
  <si>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</si>
  <si>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</si>
  <si>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</si>
  <si>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</si>
  <si>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</si>
  <si>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</si>
  <si>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</si>
  <si>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</si>
  <si>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</si>
  <si>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</si>
  <si>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</si>
  <si>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</si>
  <si>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</si>
  <si>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</si>
  <si>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</si>
  <si>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</si>
  <si>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</si>
  <si>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</si>
  <si>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</si>
  <si>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</si>
  <si>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</si>
  <si>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</si>
  <si>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</si>
  <si>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</si>
  <si>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</si>
  <si>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</si>
  <si>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</si>
  <si>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</si>
  <si>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</si>
  <si>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</si>
  <si>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</si>
  <si>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</si>
  <si>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</si>
  <si>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</si>
  <si>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</si>
  <si>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</si>
  <si>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</si>
  <si>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</si>
  <si>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</si>
  <si>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</si>
  <si>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</si>
  <si>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</si>
  <si>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</si>
  <si>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</si>
  <si>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</si>
  <si>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</si>
  <si>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</si>
  <si>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</si>
  <si>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</si>
  <si>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</si>
  <si>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</si>
  <si>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</si>
  <si>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</si>
  <si>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</si>
  <si>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</si>
  <si>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</si>
  <si>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</si>
  <si>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</si>
  <si>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</si>
  <si>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</si>
  <si>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</si>
  <si>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</si>
  <si>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</si>
  <si>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</si>
  <si>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</si>
  <si>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</si>
  <si>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</si>
  <si>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</si>
  <si>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</si>
  <si>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</si>
  <si>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</si>
  <si>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</si>
  <si>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</si>
  <si>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</si>
  <si>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</si>
  <si>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</si>
  <si>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</si>
  <si>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</si>
  <si>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</si>
  <si>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</si>
  <si>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</si>
  <si>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</si>
  <si>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</si>
  <si>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</si>
  <si>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</si>
  <si>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</si>
  <si>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</si>
  <si>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</si>
  <si>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</si>
  <si>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</si>
  <si>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</si>
  <si>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</si>
  <si>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</si>
  <si>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</si>
  <si>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</si>
  <si>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</si>
  <si>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</si>
  <si>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</si>
  <si>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</si>
  <si>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</si>
  <si>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</si>
  <si>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</si>
  <si>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</si>
  <si>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</si>
  <si>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</si>
  <si>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</si>
  <si>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</si>
  <si>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</si>
  <si>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</si>
  <si>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</si>
  <si>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</si>
  <si>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</si>
  <si>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</si>
  <si>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</si>
  <si>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</si>
  <si>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</si>
  <si>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</si>
  <si>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</si>
  <si>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</si>
  <si>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</si>
  <si>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</si>
  <si>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</si>
  <si>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</si>
  <si>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</si>
  <si>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</si>
  <si>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</si>
  <si>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</si>
  <si>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</si>
  <si>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</si>
  <si>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</si>
  <si>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</si>
  <si>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</si>
  <si>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</si>
  <si>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</si>
  <si>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</si>
  <si>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</si>
  <si>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</si>
  <si>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</si>
  <si>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</si>
  <si>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</si>
  <si>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</si>
  <si>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</si>
  <si>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</si>
  <si>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</si>
  <si>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</si>
  <si>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</si>
  <si>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</si>
  <si>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</si>
  <si>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</si>
  <si>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</si>
  <si>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</si>
  <si>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</si>
  <si>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</si>
  <si>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</si>
  <si>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</si>
  <si>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</si>
  <si>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</si>
  <si>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</si>
  <si>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</si>
  <si>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</si>
  <si>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</si>
  <si>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</si>
  <si>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</si>
  <si>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</si>
  <si>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</si>
  <si>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</si>
  <si>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</si>
  <si>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</si>
  <si>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</si>
  <si>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</si>
  <si>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</si>
  <si>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</si>
  <si>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</si>
  <si>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</si>
  <si>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</si>
  <si>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</si>
  <si>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</si>
  <si>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</si>
  <si>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</si>
  <si>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</si>
  <si>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</si>
  <si>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</si>
  <si>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</si>
  <si>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</si>
  <si>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</si>
  <si>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</si>
  <si>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</si>
  <si>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</si>
  <si>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</si>
  <si>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</si>
  <si>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</si>
  <si>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</si>
  <si>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</si>
  <si>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</si>
  <si>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</si>
  <si>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</si>
  <si>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</si>
  <si>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</si>
  <si>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</si>
  <si>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</si>
  <si>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</si>
  <si>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</si>
  <si>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</si>
  <si>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</si>
  <si>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</si>
  <si>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</si>
  <si>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</si>
  <si>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</si>
  <si>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</si>
  <si>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</si>
  <si>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</si>
  <si>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</si>
  <si>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</si>
  <si>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</si>
  <si>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</si>
  <si>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</si>
  <si>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</si>
  <si>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</si>
  <si>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</si>
  <si>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</si>
  <si>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</si>
  <si>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</si>
  <si>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</si>
  <si>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</si>
  <si>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</si>
  <si>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</si>
  <si>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</si>
  <si>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</si>
  <si>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</si>
  <si>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</si>
  <si>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</si>
  <si>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</si>
  <si>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</si>
  <si>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</si>
  <si>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</si>
  <si>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</si>
  <si>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</si>
  <si>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</si>
  <si>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</si>
  <si>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</si>
  <si>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</si>
  <si>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</si>
  <si>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</si>
  <si>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</si>
  <si>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</si>
  <si>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</si>
  <si>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</si>
  <si>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</si>
  <si>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</si>
  <si>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</si>
  <si>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</si>
  <si>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</si>
  <si>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</si>
  <si>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</si>
  <si>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</si>
  <si>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</si>
  <si>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</si>
  <si>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</si>
  <si>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</si>
  <si>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</si>
  <si>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</si>
  <si>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</si>
  <si>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</si>
  <si>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</si>
  <si>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</si>
  <si>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</si>
  <si>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</si>
  <si>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</si>
  <si>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</si>
  <si>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</si>
  <si>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</si>
  <si>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</si>
  <si>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</si>
  <si>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</si>
  <si>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</si>
  <si>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</si>
  <si>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</si>
  <si>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</si>
  <si>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</si>
  <si>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</si>
  <si>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</si>
  <si>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</si>
  <si>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</si>
  <si>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</si>
  <si>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</si>
  <si>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</si>
  <si>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</si>
  <si>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</si>
  <si>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</si>
  <si>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</si>
  <si>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</si>
  <si>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</si>
  <si>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</si>
  <si>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</si>
  <si>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</si>
  <si>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</si>
  <si>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</si>
  <si>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</si>
  <si>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</si>
  <si>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</si>
  <si>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</si>
  <si>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</si>
  <si>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</si>
  <si>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</si>
  <si>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</si>
  <si>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</si>
  <si>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</si>
  <si>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</si>
  <si>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</si>
  <si>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</si>
  <si>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</si>
  <si>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</si>
  <si>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</si>
  <si>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</si>
  <si>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</si>
  <si>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</si>
  <si>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</si>
  <si>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</si>
  <si>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</si>
  <si>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</si>
  <si>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</si>
  <si>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</si>
  <si>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</si>
  <si>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</si>
  <si>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</si>
  <si>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</si>
  <si>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</si>
  <si>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</si>
  <si>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</si>
  <si>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</si>
  <si>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</si>
  <si>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</si>
  <si>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</si>
  <si>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</si>
  <si>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</si>
  <si>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</si>
  <si>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</si>
  <si>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</si>
  <si>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</si>
  <si>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</si>
  <si>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</si>
  <si>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</si>
  <si>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</si>
  <si>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</si>
  <si>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</si>
  <si>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</si>
  <si>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</si>
  <si>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</si>
  <si>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</si>
  <si>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</si>
  <si>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</si>
  <si>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</si>
  <si>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</si>
  <si>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</si>
  <si>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</si>
  <si>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</si>
  <si>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</si>
  <si>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</si>
  <si>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</si>
  <si>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</si>
  <si>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</si>
  <si>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</si>
  <si>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</si>
  <si>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</si>
  <si>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</si>
  <si>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</si>
  <si>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</si>
  <si>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</si>
  <si>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</si>
  <si>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</si>
  <si>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</si>
  <si>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</si>
  <si>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</si>
  <si>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</si>
  <si>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</si>
  <si>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</si>
  <si>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</si>
  <si>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</si>
  <si>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</si>
  <si>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</si>
  <si>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</si>
  <si>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</si>
  <si>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</si>
  <si>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</si>
  <si>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</si>
  <si>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</si>
  <si>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</si>
  <si>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</si>
  <si>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</si>
  <si>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</si>
  <si>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</si>
  <si>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</si>
  <si>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</si>
  <si>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</si>
  <si>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</si>
  <si>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</si>
  <si>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</si>
  <si>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</si>
  <si>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</si>
  <si>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</si>
  <si>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</si>
  <si>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</si>
  <si>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</si>
  <si>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</si>
  <si>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</si>
  <si>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</si>
  <si>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</si>
  <si>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</si>
  <si>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</si>
  <si>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</si>
  <si>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</si>
  <si>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</si>
  <si>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</si>
  <si>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</si>
  <si>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</si>
  <si>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</si>
  <si>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</si>
  <si>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</si>
  <si>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</si>
  <si>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</si>
  <si>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</si>
  <si>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</si>
  <si>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</si>
  <si>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</si>
  <si>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</si>
  <si>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</si>
  <si>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</si>
  <si>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</si>
  <si>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</si>
  <si>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</si>
  <si>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</si>
  <si>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</si>
  <si>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</si>
  <si>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</si>
  <si>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</si>
  <si>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</si>
  <si>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</si>
  <si>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</si>
  <si>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</si>
  <si>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</si>
  <si>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</si>
  <si>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</si>
  <si>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</si>
  <si>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</si>
  <si>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</si>
  <si>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</si>
  <si>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</si>
  <si>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</si>
  <si>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</si>
  <si>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</si>
  <si>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</si>
  <si>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</si>
  <si>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</si>
  <si>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</si>
  <si>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</si>
  <si>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</si>
  <si>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</si>
  <si>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</si>
  <si>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</si>
  <si>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</si>
  <si>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</si>
  <si>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</si>
  <si>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</si>
  <si>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</si>
  <si>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</si>
  <si>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</si>
  <si>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</si>
  <si>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</si>
  <si>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</si>
  <si>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</si>
  <si>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</si>
  <si>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</si>
  <si>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</si>
  <si>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</si>
  <si>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</si>
  <si>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</si>
  <si>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</si>
  <si>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</si>
  <si>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</si>
  <si>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</si>
  <si>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</si>
  <si>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</si>
  <si>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</si>
  <si>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</si>
  <si>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</si>
  <si>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</si>
  <si>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</si>
  <si>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</si>
  <si>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</si>
  <si>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</si>
  <si>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</si>
  <si>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</si>
  <si>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</si>
  <si>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</si>
  <si>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</si>
  <si>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</si>
  <si>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</si>
  <si>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</si>
  <si>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</si>
  <si>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</si>
  <si>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</si>
  <si>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</si>
  <si>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</si>
  <si>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</si>
  <si>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</si>
  <si>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</si>
  <si>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</si>
  <si>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</si>
  <si>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</si>
  <si>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</si>
  <si>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</si>
  <si>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</si>
  <si>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</si>
  <si>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</si>
  <si>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</si>
  <si>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</si>
  <si>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</si>
  <si>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</si>
  <si>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</si>
  <si>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</si>
  <si>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</si>
  <si>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</si>
  <si>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</si>
  <si>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</si>
  <si>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</si>
  <si>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</si>
  <si>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</si>
  <si>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</si>
  <si>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</si>
  <si>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</si>
  <si>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</si>
  <si>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</si>
  <si>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</si>
  <si>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</si>
  <si>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</si>
  <si>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</si>
  <si>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</si>
  <si>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</si>
  <si>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</si>
  <si>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</si>
  <si>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</si>
  <si>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</si>
  <si>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</si>
  <si>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</si>
  <si>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</si>
  <si>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</si>
  <si>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</si>
  <si>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</si>
  <si>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</si>
  <si>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</si>
  <si>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</si>
  <si>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</si>
  <si>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</si>
  <si>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</si>
  <si>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</si>
  <si>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</si>
  <si>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</si>
  <si>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</si>
  <si>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</si>
  <si>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</si>
  <si>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</si>
  <si>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</si>
  <si>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</si>
  <si>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</si>
  <si>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</si>
  <si>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</si>
  <si>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</si>
  <si>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</si>
  <si>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</si>
  <si>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</si>
  <si>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</si>
  <si>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</si>
  <si>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</si>
  <si>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</si>
  <si>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</si>
  <si>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</si>
  <si>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</si>
  <si>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</si>
  <si>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</si>
  <si>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</si>
  <si>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</si>
  <si>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</si>
  <si>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</si>
  <si>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</si>
  <si>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</si>
  <si>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</si>
  <si>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</si>
  <si>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</si>
  <si>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</si>
  <si>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</si>
  <si>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</si>
  <si>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</si>
  <si>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</si>
  <si>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</si>
  <si>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</si>
  <si>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</si>
  <si>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</si>
  <si>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</si>
  <si>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</si>
  <si>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</si>
  <si>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</si>
  <si>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</si>
  <si>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</si>
  <si>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</si>
  <si>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</si>
  <si>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</si>
  <si>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</si>
  <si>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</si>
  <si>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</si>
  <si>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</si>
  <si>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</si>
  <si>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</si>
  <si>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</si>
  <si>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</si>
  <si>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</si>
  <si>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</si>
  <si>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</si>
  <si>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</si>
  <si>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</si>
  <si>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</si>
  <si>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</si>
  <si>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</si>
  <si>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</si>
  <si>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</si>
  <si>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</si>
  <si>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</si>
  <si>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</si>
  <si>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</si>
  <si>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</si>
  <si>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</si>
  <si>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</si>
  <si>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</si>
  <si>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</si>
  <si>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</si>
  <si>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</si>
  <si>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</si>
  <si>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</si>
  <si>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</si>
  <si>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</si>
  <si>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</si>
  <si>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</si>
  <si>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</si>
  <si>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</si>
  <si>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</si>
  <si>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</si>
  <si>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</si>
  <si>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</si>
  <si>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</si>
  <si>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</si>
  <si>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</si>
  <si>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</si>
  <si>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</si>
  <si>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</si>
  <si>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</si>
  <si>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</si>
  <si>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</si>
  <si>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</si>
  <si>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</si>
  <si>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</si>
  <si>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</si>
  <si>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</si>
  <si>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</si>
  <si>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</si>
  <si>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</si>
  <si>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</si>
  <si>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</si>
  <si>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</si>
  <si>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</si>
  <si>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</si>
  <si>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</si>
  <si>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</si>
  <si>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</si>
  <si>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</si>
  <si>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</si>
  <si>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</si>
  <si>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</si>
  <si>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</si>
  <si>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</si>
  <si>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</si>
  <si>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</si>
  <si>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</si>
  <si>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</si>
  <si>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</si>
  <si>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</si>
  <si>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</si>
  <si>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</si>
  <si>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</si>
  <si>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</si>
  <si>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</si>
  <si>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</si>
  <si>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</si>
  <si>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</si>
  <si>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</si>
  <si>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</si>
  <si>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</si>
  <si>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</si>
  <si>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</si>
  <si>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</si>
  <si>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</si>
  <si>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</si>
  <si>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</si>
  <si>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</si>
  <si>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</si>
  <si>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</si>
  <si>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</si>
  <si>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</si>
  <si>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</si>
  <si>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</si>
  <si>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</si>
  <si>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</si>
  <si>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</si>
  <si>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</si>
  <si>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</si>
  <si>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</si>
  <si>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</si>
  <si>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</si>
  <si>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</si>
  <si>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</si>
  <si>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</si>
  <si>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</si>
  <si>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</si>
  <si>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</si>
  <si>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</si>
  <si>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</si>
  <si>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</si>
  <si>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</si>
  <si>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</si>
  <si>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</si>
  <si>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</si>
  <si>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</si>
  <si>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</si>
  <si>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</si>
  <si>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</si>
  <si>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</si>
  <si>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</si>
  <si>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</si>
  <si>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</si>
  <si>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</si>
  <si>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</si>
  <si>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</si>
  <si>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</si>
  <si>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</si>
  <si>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</si>
  <si>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</si>
  <si>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</si>
  <si>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</si>
  <si>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</si>
  <si>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</si>
  <si>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</si>
  <si>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</si>
  <si>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</si>
  <si>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</si>
  <si>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</si>
  <si>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</si>
  <si>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</si>
  <si>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</si>
  <si>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</si>
  <si>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</si>
  <si>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</si>
  <si>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</si>
  <si>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</si>
  <si>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</si>
  <si>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</si>
  <si>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</si>
  <si>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</si>
  <si>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</si>
  <si>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</si>
  <si>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</si>
  <si>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</si>
  <si>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</si>
  <si>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</si>
  <si>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</si>
  <si>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</si>
  <si>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</si>
  <si>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</si>
  <si>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</si>
  <si>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</si>
  <si>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</si>
  <si>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</si>
  <si>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</si>
  <si>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</si>
  <si>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</si>
  <si>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</si>
  <si>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</si>
  <si>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</si>
  <si>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</si>
  <si>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</si>
  <si>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</si>
  <si>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</si>
  <si>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</si>
  <si>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</si>
  <si>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</si>
  <si>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</si>
  <si>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</si>
  <si>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</si>
  <si>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</si>
  <si>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</si>
  <si>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</si>
  <si>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</si>
  <si>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</si>
  <si>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</si>
  <si>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</si>
  <si>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</si>
  <si>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</si>
  <si>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</si>
  <si>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</si>
  <si>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</si>
  <si>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</si>
  <si>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</si>
  <si>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</si>
  <si>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</si>
  <si>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</si>
  <si>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</si>
  <si>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</si>
  <si>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</si>
  <si>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</si>
  <si>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</si>
  <si>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</si>
  <si>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</si>
  <si>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</si>
  <si>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</si>
  <si>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</si>
  <si>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</si>
  <si>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</si>
  <si>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</si>
  <si>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</si>
  <si>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</si>
  <si>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</si>
  <si>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</si>
  <si>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</si>
  <si>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</si>
  <si>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</si>
  <si>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</si>
  <si>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</si>
  <si>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</si>
  <si>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</si>
  <si>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</si>
  <si>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</si>
  <si>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</si>
  <si>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</si>
  <si>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</si>
  <si>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</si>
  <si>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</si>
  <si>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</si>
  <si>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</si>
  <si>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</si>
  <si>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</si>
  <si>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</si>
  <si>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</si>
  <si>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</si>
  <si>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</si>
  <si>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</si>
  <si>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</si>
  <si>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</si>
  <si>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</si>
  <si>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</si>
  <si>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</si>
  <si>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</si>
  <si>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</si>
  <si>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</si>
  <si>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</si>
  <si>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</si>
  <si>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</si>
  <si>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</si>
  <si>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</si>
  <si>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</si>
  <si>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</si>
  <si>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</si>
  <si>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</si>
  <si>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</si>
  <si>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</si>
  <si>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</si>
  <si>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</si>
  <si>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</si>
  <si>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</si>
  <si>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</si>
  <si>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</si>
  <si>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</si>
  <si>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</si>
  <si>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</si>
  <si>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</si>
  <si>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</si>
  <si>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</si>
  <si>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</si>
  <si>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</si>
  <si>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</si>
  <si>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</si>
  <si>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</si>
  <si>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</si>
  <si>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</si>
  <si>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</si>
  <si>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</si>
  <si>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</si>
  <si>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</si>
  <si>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</si>
  <si>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</si>
  <si>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</si>
  <si>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</si>
  <si>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</si>
  <si>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</si>
  <si>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</si>
  <si>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</si>
  <si>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</si>
  <si>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</si>
  <si>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</si>
  <si>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</si>
  <si>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</si>
  <si>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</si>
  <si>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</si>
  <si>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</si>
  <si>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</si>
  <si>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</si>
  <si>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</si>
  <si>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</si>
  <si>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</si>
  <si>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</si>
  <si>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</si>
  <si>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</si>
  <si>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</si>
  <si>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</si>
  <si>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</si>
  <si>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</si>
  <si>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</si>
  <si>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</si>
  <si>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</si>
  <si>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</si>
  <si>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</si>
  <si>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</si>
  <si>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</si>
  <si>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</si>
  <si>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</si>
  <si>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</si>
  <si>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</si>
  <si>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</si>
  <si>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</si>
  <si>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</si>
  <si>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</si>
  <si>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</si>
  <si>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</si>
  <si>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</si>
  <si>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</si>
  <si>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</si>
  <si>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</si>
  <si>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</si>
  <si>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</si>
  <si>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</si>
  <si>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</si>
  <si>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</si>
  <si>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</si>
  <si>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</si>
  <si>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</si>
  <si>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</si>
  <si>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</si>
  <si>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</si>
  <si>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</si>
  <si>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</si>
  <si>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</si>
  <si>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</si>
  <si>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</si>
  <si>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</si>
  <si>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</si>
  <si>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</si>
  <si>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</si>
  <si>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</si>
  <si>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</si>
  <si>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</si>
  <si>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</si>
  <si>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</si>
  <si>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</si>
  <si>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</si>
  <si>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</si>
  <si>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</si>
  <si>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</si>
  <si>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</si>
  <si>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</si>
  <si>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</si>
  <si>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</si>
  <si>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</si>
  <si>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</si>
  <si>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</si>
  <si>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</si>
  <si>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</si>
  <si>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</si>
  <si>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</si>
  <si>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</si>
  <si>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</si>
  <si>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</si>
  <si>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</si>
  <si>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</si>
  <si>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</si>
  <si>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</si>
  <si>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</si>
  <si>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</si>
  <si>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</si>
  <si>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</si>
  <si>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</si>
  <si>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</si>
  <si>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</si>
  <si>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</si>
  <si>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</si>
  <si>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</si>
  <si>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</si>
  <si>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</si>
  <si>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</si>
  <si>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</si>
  <si>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</si>
  <si>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</si>
  <si>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</si>
  <si>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</si>
  <si>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</si>
  <si>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</si>
  <si>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</si>
  <si>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</si>
  <si>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</si>
  <si>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</si>
  <si>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</si>
  <si>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</si>
  <si>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</si>
  <si>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</si>
  <si>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</si>
  <si>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</si>
  <si>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</si>
  <si>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</si>
  <si>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</si>
  <si>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</si>
  <si>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</si>
  <si>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</si>
  <si>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</si>
  <si>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</si>
  <si>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</si>
  <si>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</si>
  <si>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</si>
  <si>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</si>
  <si>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</si>
  <si>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</si>
  <si>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</si>
  <si>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</si>
  <si>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</si>
  <si>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</si>
  <si>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</si>
  <si>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</si>
  <si>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</si>
  <si>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</si>
  <si>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</si>
  <si>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</si>
  <si>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</si>
  <si>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</si>
  <si>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</si>
  <si>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</si>
  <si>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</si>
  <si>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</si>
  <si>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</si>
  <si>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</si>
  <si>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</si>
  <si>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</si>
  <si>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</si>
  <si>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</si>
  <si>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</si>
  <si>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</si>
  <si>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</si>
  <si>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</si>
  <si>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</si>
  <si>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</si>
  <si>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</si>
  <si>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</si>
  <si>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</si>
  <si>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</si>
  <si>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</si>
  <si>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</si>
  <si>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</si>
  <si>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</si>
  <si>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</si>
  <si>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</si>
  <si>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</si>
  <si>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</si>
  <si>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</si>
  <si>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</si>
  <si>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</si>
  <si>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</si>
  <si>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</si>
  <si>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</si>
  <si>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</si>
  <si>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</si>
  <si>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</si>
  <si>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</si>
  <si>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</si>
  <si>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</si>
  <si>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</si>
  <si>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</si>
  <si>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</si>
  <si>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</si>
  <si>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</si>
  <si>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</si>
  <si>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</si>
  <si>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</si>
  <si>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</si>
  <si>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</si>
  <si>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</si>
  <si>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</si>
  <si>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</si>
  <si>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</si>
  <si>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</si>
  <si>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</si>
  <si>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</si>
  <si>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</si>
  <si>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</si>
  <si>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</si>
  <si>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</si>
  <si>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</si>
  <si>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</si>
  <si>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</si>
  <si>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</si>
  <si>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</si>
  <si>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</si>
  <si>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</si>
  <si>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</si>
  <si>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</si>
  <si>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</si>
  <si>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</si>
  <si>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</si>
  <si>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</si>
  <si>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</si>
  <si>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</si>
  <si>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</si>
  <si>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</si>
  <si>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</si>
  <si>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</si>
  <si>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</si>
  <si>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</si>
  <si>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</si>
  <si>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</si>
  <si>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</si>
  <si>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</si>
  <si>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</si>
  <si>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</si>
  <si>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</si>
  <si>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</si>
  <si>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</si>
  <si>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</si>
  <si>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</si>
  <si>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</si>
  <si>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</si>
  <si>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</si>
  <si>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</si>
  <si>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</si>
  <si>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</si>
  <si>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</si>
  <si>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</si>
  <si>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</si>
  <si>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</si>
  <si>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</si>
  <si>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</si>
  <si>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</si>
  <si>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</si>
  <si>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</si>
  <si>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</si>
  <si>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</si>
  <si>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</si>
  <si>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</si>
  <si>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</si>
  <si>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</si>
  <si>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</si>
  <si>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</si>
  <si>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</si>
  <si>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</si>
  <si>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</si>
  <si>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</si>
  <si>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</si>
  <si>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</si>
  <si>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</si>
  <si>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</si>
  <si>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</si>
  <si>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</si>
  <si>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</si>
  <si>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</si>
  <si>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</si>
  <si>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</si>
  <si>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</si>
  <si>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</si>
  <si>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</si>
  <si>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</si>
  <si>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</si>
  <si>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</si>
  <si>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</si>
  <si>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</si>
  <si>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</si>
  <si>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</si>
  <si>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</si>
  <si>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</si>
  <si>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</si>
  <si>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</si>
  <si>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</si>
  <si>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</si>
  <si>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</si>
  <si>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</si>
  <si>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</si>
  <si>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</si>
  <si>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</si>
  <si>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</si>
  <si>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</si>
  <si>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</si>
  <si>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</si>
  <si>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</si>
  <si>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</si>
  <si>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</si>
  <si>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</si>
  <si>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</si>
  <si>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</si>
  <si>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</si>
  <si>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</si>
  <si>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</si>
  <si>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</si>
  <si>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</si>
  <si>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</si>
  <si>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</si>
  <si>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</si>
  <si>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</si>
  <si>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</si>
  <si>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</si>
  <si>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</si>
  <si>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</si>
  <si>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</si>
  <si>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</si>
  <si>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</si>
  <si>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</si>
  <si>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</si>
  <si>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</si>
  <si>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</si>
  <si>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</si>
  <si>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</si>
  <si>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</si>
  <si>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</si>
  <si>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</si>
  <si>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</si>
  <si>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</si>
  <si>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</si>
  <si>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</si>
  <si>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</si>
  <si>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</si>
  <si>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</si>
  <si>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</si>
  <si>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</si>
  <si>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</si>
  <si>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</si>
  <si>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</si>
  <si>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</si>
  <si>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</si>
  <si>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</si>
  <si>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</si>
  <si>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</si>
  <si>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</si>
  <si>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</si>
  <si>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</si>
  <si>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</si>
  <si>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</si>
  <si>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</si>
  <si>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</si>
  <si>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</si>
  <si>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</si>
  <si>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</si>
  <si>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</si>
  <si>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</si>
  <si>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</si>
  <si>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</si>
  <si>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</si>
  <si>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</si>
  <si>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</si>
  <si>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</si>
  <si>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</si>
  <si>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</si>
  <si>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</si>
  <si>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</si>
  <si>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</si>
  <si>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</si>
  <si>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</si>
  <si>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</si>
  <si>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</si>
  <si>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</si>
  <si>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</si>
  <si>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</si>
  <si>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</si>
  <si>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</si>
  <si>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</si>
  <si>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</si>
  <si>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</si>
  <si>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</si>
  <si>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</si>
  <si>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</si>
  <si>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</si>
  <si>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</si>
  <si>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</si>
  <si>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</si>
  <si>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</si>
  <si>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</si>
  <si>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</si>
  <si>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</si>
  <si>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</si>
  <si>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</si>
  <si>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</si>
  <si>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</si>
  <si>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</si>
  <si>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</si>
  <si>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</si>
  <si>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</si>
  <si>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</si>
  <si>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</si>
  <si>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</si>
  <si>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</si>
  <si>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</si>
  <si>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</si>
  <si>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</si>
  <si>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</si>
  <si>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</si>
  <si>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</si>
  <si>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</si>
  <si>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</si>
  <si>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</si>
  <si>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</si>
  <si>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</si>
  <si>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</si>
  <si>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</si>
  <si>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</si>
  <si>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</si>
  <si>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</si>
  <si>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</si>
  <si>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</si>
  <si>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</si>
  <si>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</si>
  <si>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</si>
  <si>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</si>
  <si>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</si>
  <si>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</si>
  <si>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</si>
  <si>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</si>
  <si>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</si>
  <si>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</si>
  <si>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</si>
  <si>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</si>
  <si>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</si>
  <si>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</si>
  <si>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</si>
  <si>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</si>
  <si>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</si>
  <si>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</si>
  <si>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</si>
  <si>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</si>
  <si>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</si>
  <si>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</si>
  <si>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</si>
  <si>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</si>
  <si>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</si>
  <si>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</si>
  <si>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</si>
  <si>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</si>
  <si>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</si>
  <si>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</si>
  <si>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</si>
  <si>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</si>
  <si>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</si>
  <si>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</si>
  <si>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</si>
  <si>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</si>
  <si>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</si>
  <si>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</si>
  <si>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</si>
  <si>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</si>
  <si>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</si>
  <si>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</si>
  <si>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</si>
  <si>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</si>
  <si>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</si>
  <si>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</si>
  <si>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</si>
  <si>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</si>
  <si>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</si>
  <si>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</si>
  <si>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</si>
  <si>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</si>
  <si>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</si>
  <si>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</si>
  <si>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</si>
  <si>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</si>
  <si>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</si>
  <si>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</si>
  <si>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</si>
  <si>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</si>
  <si>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</si>
  <si>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</si>
  <si>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</si>
  <si>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</si>
  <si>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</si>
  <si>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</si>
  <si>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</si>
  <si>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</si>
  <si>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</si>
  <si>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</si>
  <si>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</si>
  <si>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</si>
  <si>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</si>
  <si>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</si>
  <si>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</si>
  <si>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</si>
  <si>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</si>
  <si>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</si>
  <si>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</si>
  <si>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</si>
  <si>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</si>
  <si>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</si>
  <si>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</si>
  <si>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</si>
  <si>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</si>
  <si>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</si>
  <si>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</si>
  <si>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</si>
  <si>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</si>
  <si>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</si>
  <si>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</si>
  <si>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</si>
  <si>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</si>
  <si>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</si>
  <si>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</si>
  <si>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</si>
  <si>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</si>
  <si>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</si>
  <si>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</si>
  <si>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</si>
  <si>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</si>
  <si>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</si>
  <si>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</si>
  <si>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</si>
  <si>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</si>
  <si>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</si>
  <si>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</si>
  <si>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</si>
  <si>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</si>
  <si>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</si>
  <si>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</si>
  <si>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</si>
  <si>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</si>
  <si>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</si>
  <si>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</si>
  <si>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</si>
  <si>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</si>
  <si>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</si>
  <si>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</si>
  <si>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</si>
  <si>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</si>
  <si>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</si>
  <si>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</si>
  <si>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</si>
  <si>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</si>
  <si>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</si>
  <si>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</si>
  <si>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</si>
  <si>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</si>
  <si>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</si>
  <si>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</si>
  <si>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</si>
  <si>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</si>
  <si>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</si>
  <si>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</si>
  <si>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</si>
  <si>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</si>
  <si>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</si>
  <si>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</si>
  <si>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</si>
  <si>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</si>
  <si>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</si>
  <si>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</si>
  <si>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</si>
  <si>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</si>
  <si>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</si>
  <si>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</si>
  <si>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</si>
  <si>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</si>
  <si>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</si>
  <si>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</si>
  <si>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</si>
  <si>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</si>
  <si>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</si>
  <si>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</si>
  <si>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</si>
  <si>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</si>
  <si>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</si>
  <si>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</si>
  <si>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</si>
  <si>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</si>
  <si>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</si>
  <si>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</si>
  <si>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</si>
  <si>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</si>
  <si>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</si>
  <si>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</si>
  <si>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</si>
  <si>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</si>
  <si>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</si>
  <si>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</si>
  <si>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</si>
  <si>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</si>
  <si>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</si>
  <si>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</si>
  <si>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</si>
  <si>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</si>
  <si>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</si>
  <si>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</si>
  <si>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</si>
  <si>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</si>
  <si>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</si>
  <si>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</si>
  <si>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</si>
  <si>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</si>
  <si>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</si>
  <si>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</si>
  <si>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</si>
  <si>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</si>
  <si>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</si>
  <si>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</si>
  <si>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</si>
  <si>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</si>
  <si>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</si>
  <si>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</si>
  <si>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</si>
  <si>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</si>
  <si>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</si>
  <si>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</si>
  <si>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</si>
  <si>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</si>
  <si>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</si>
  <si>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</si>
  <si>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</si>
  <si>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</si>
  <si>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</si>
  <si>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</si>
  <si>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</si>
  <si>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</si>
  <si>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</si>
  <si>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</si>
  <si>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</si>
  <si>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</si>
  <si>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</si>
  <si>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</si>
  <si>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</si>
  <si>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</si>
  <si>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</si>
  <si>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</si>
  <si>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</si>
  <si>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</si>
  <si>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</si>
  <si>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</si>
  <si>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</si>
  <si>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</si>
  <si>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</si>
  <si>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</si>
  <si>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</si>
  <si>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</si>
  <si>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</si>
  <si>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</si>
  <si>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</si>
  <si>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</si>
  <si>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</si>
  <si>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</si>
  <si>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</si>
  <si>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</si>
  <si>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</si>
  <si>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</si>
  <si>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</si>
  <si>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</si>
  <si>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</si>
  <si>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</si>
  <si>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</si>
  <si>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</si>
  <si>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</si>
  <si>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</si>
  <si>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</si>
  <si>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</si>
  <si>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</si>
  <si>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</si>
  <si>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</si>
  <si>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</si>
  <si>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</si>
  <si>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</si>
  <si>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</si>
  <si>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</si>
  <si>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</si>
  <si>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</si>
  <si>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</si>
  <si>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</si>
  <si>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</si>
  <si>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</si>
  <si>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</si>
  <si>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</si>
  <si>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</si>
  <si>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</si>
  <si>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</si>
  <si>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</si>
  <si>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</si>
  <si>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</si>
  <si>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</si>
  <si>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</si>
  <si>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</si>
  <si>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</si>
  <si>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</si>
  <si>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</si>
  <si>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</si>
  <si>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</si>
  <si>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</si>
  <si>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</si>
  <si>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</si>
  <si>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</si>
  <si>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</si>
  <si>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</si>
  <si>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</si>
  <si>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</si>
  <si>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</si>
  <si>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</si>
  <si>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</si>
  <si>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</si>
  <si>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</si>
  <si>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</si>
  <si>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</si>
  <si>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</si>
  <si>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</si>
  <si>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</si>
  <si>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</si>
  <si>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</si>
  <si>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</si>
  <si>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</si>
  <si>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</si>
  <si>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</si>
  <si>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</si>
  <si>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</si>
  <si>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</si>
  <si>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</si>
  <si>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</si>
  <si>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</si>
  <si>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</si>
  <si>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</si>
  <si>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</si>
  <si>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</si>
  <si>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</si>
  <si>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</si>
  <si>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</si>
  <si>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</si>
  <si>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</si>
  <si>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</si>
  <si>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</si>
  <si>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</si>
  <si>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</si>
  <si>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</si>
  <si>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</si>
  <si>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</si>
  <si>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</si>
  <si>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</si>
  <si>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</si>
  <si>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</si>
  <si>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</si>
  <si>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</si>
  <si>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</si>
  <si>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</si>
  <si>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</si>
  <si>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</si>
  <si>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</si>
  <si>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</si>
  <si>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</si>
  <si>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</si>
  <si>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</si>
  <si>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</si>
  <si>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</si>
  <si>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</si>
  <si>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</si>
  <si>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</si>
  <si>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</si>
  <si>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</si>
  <si>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</si>
  <si>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</si>
  <si>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</si>
  <si>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</si>
  <si>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</si>
  <si>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</si>
  <si>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</si>
  <si>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</si>
  <si>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</si>
  <si>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</si>
  <si>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</si>
  <si>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</si>
  <si>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</si>
  <si>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</si>
  <si>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</si>
  <si>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</si>
  <si>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</si>
  <si>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</si>
  <si>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</si>
  <si>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</si>
  <si>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</si>
  <si>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</si>
  <si>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</si>
  <si>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</si>
  <si>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</si>
  <si>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</si>
  <si>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</si>
  <si>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</si>
  <si>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</si>
  <si>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</si>
  <si>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</si>
  <si>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</si>
  <si>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</si>
  <si>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</si>
  <si>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</si>
  <si>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</si>
  <si>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</si>
  <si>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</si>
  <si>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</si>
  <si>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</si>
  <si>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</si>
  <si>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</si>
  <si>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</si>
  <si>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</si>
  <si>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</si>
  <si>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</si>
  <si>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</si>
  <si>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</si>
  <si>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</si>
  <si>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</si>
  <si>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</si>
  <si>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</si>
  <si>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</si>
  <si>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</si>
  <si>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</si>
  <si>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</si>
  <si>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</si>
  <si>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</si>
  <si>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</si>
  <si>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</si>
  <si>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</si>
  <si>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</si>
  <si>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</si>
  <si>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</si>
  <si>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</si>
  <si>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</si>
  <si>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</si>
  <si>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</si>
  <si>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</si>
  <si>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</si>
  <si>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</si>
  <si>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</si>
  <si>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</si>
  <si>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</si>
  <si>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</si>
  <si>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</si>
  <si>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</si>
  <si>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</si>
  <si>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</si>
  <si>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</si>
  <si>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</si>
  <si>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</si>
  <si>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</si>
  <si>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</si>
  <si>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</si>
  <si>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</si>
  <si>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</si>
  <si>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</si>
  <si>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</si>
  <si>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</si>
  <si>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</si>
  <si>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</si>
  <si>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</si>
  <si>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</si>
  <si>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</si>
  <si>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</si>
  <si>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</si>
  <si>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</si>
  <si>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</si>
  <si>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</si>
  <si>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</si>
  <si>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</si>
  <si>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</si>
  <si>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</si>
  <si>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</si>
  <si>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</si>
  <si>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</si>
  <si>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</si>
  <si>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</si>
  <si>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</si>
  <si>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</si>
  <si>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</si>
  <si>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</si>
  <si>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</si>
  <si>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</si>
  <si>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</si>
  <si>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</si>
  <si>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</si>
  <si>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</si>
  <si>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</si>
  <si>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</si>
  <si>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</si>
  <si>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</si>
  <si>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</si>
  <si>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</si>
  <si>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</si>
  <si>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</si>
  <si>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</si>
  <si>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</si>
  <si>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</si>
  <si>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</si>
  <si>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</si>
  <si>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</si>
  <si>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</si>
  <si>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</si>
  <si>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</si>
  <si>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</si>
  <si>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</si>
  <si>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</si>
  <si>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</si>
  <si>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</si>
  <si>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</si>
  <si>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</si>
  <si>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</si>
  <si>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</si>
  <si>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</si>
  <si>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</si>
  <si>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</si>
  <si>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</si>
  <si>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</si>
  <si>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</si>
  <si>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</si>
  <si>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</si>
  <si>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</si>
  <si>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</si>
  <si>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</si>
  <si>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</si>
  <si>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</si>
  <si>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</si>
  <si>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</si>
  <si>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</si>
  <si>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</si>
  <si>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</si>
  <si>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</si>
  <si>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</si>
  <si>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</si>
  <si>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</si>
  <si>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</si>
  <si>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</si>
  <si>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</si>
  <si>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</si>
  <si>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</si>
  <si>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</si>
  <si>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</si>
  <si>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</si>
  <si>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</si>
  <si>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</si>
  <si>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</si>
  <si>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</si>
  <si>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</si>
  <si>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</si>
  <si>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</si>
  <si>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</si>
  <si>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</si>
  <si>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</si>
  <si>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</si>
  <si>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</si>
  <si>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</si>
  <si>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</si>
  <si>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</si>
  <si>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</si>
  <si>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</si>
  <si>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</si>
  <si>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</si>
  <si>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</si>
  <si>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</si>
  <si>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</si>
  <si>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</si>
  <si>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</si>
  <si>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</si>
  <si>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</si>
  <si>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</si>
  <si>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</si>
  <si>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</si>
  <si>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</si>
  <si>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</si>
  <si>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</si>
  <si>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</si>
  <si>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</si>
  <si>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</si>
  <si>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</si>
  <si>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</si>
  <si>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</si>
  <si>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</si>
  <si>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</si>
  <si>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</si>
  <si>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</si>
  <si>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</si>
  <si>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</si>
  <si>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</si>
  <si>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</si>
  <si>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</si>
  <si>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</si>
  <si>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</si>
  <si>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</si>
  <si>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</si>
  <si>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</si>
  <si>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</si>
  <si>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</si>
  <si>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</si>
  <si>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</si>
  <si>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</si>
  <si>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</si>
  <si>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</si>
  <si>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</si>
  <si>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</si>
  <si>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</si>
  <si>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</si>
  <si>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</si>
  <si>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</si>
  <si>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</si>
  <si>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</si>
  <si>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</si>
  <si>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</si>
  <si>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</si>
  <si>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</si>
  <si>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</si>
  <si>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</si>
  <si>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</si>
  <si>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</si>
  <si>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</si>
  <si>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</si>
  <si>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</si>
  <si>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</si>
  <si>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</si>
  <si>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</si>
  <si>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</si>
  <si>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</si>
  <si>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</si>
  <si>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</si>
  <si>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</si>
  <si>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</si>
  <si>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</si>
  <si>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</si>
  <si>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</si>
  <si>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</si>
  <si>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</si>
  <si>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</si>
  <si>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</si>
  <si>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</si>
  <si>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</si>
  <si>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</si>
  <si>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</si>
  <si>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</si>
  <si>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</si>
  <si>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</si>
  <si>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</si>
  <si>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</si>
  <si>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</si>
  <si>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</si>
  <si>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</si>
  <si>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</si>
  <si>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</si>
  <si>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</si>
  <si>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</si>
  <si>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</si>
  <si>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</si>
  <si>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</si>
  <si>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</si>
  <si>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</si>
  <si>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</si>
  <si>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</si>
  <si>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</si>
  <si>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</si>
  <si>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</si>
  <si>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</si>
  <si>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</si>
  <si>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</si>
  <si>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</si>
  <si>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</si>
  <si>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</si>
  <si>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</si>
  <si>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</si>
  <si>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</si>
  <si>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</si>
  <si>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</si>
  <si>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</si>
  <si>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</si>
  <si>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</si>
  <si>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</si>
  <si>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</si>
  <si>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</si>
  <si>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</si>
  <si>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</si>
  <si>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</si>
  <si>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</si>
  <si>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</si>
  <si>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</si>
  <si>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</si>
  <si>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</si>
  <si>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</si>
  <si>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</si>
  <si>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</si>
  <si>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</si>
  <si>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</si>
  <si>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</si>
  <si>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</si>
  <si>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</si>
  <si>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</si>
  <si>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</si>
  <si>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</si>
  <si>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</si>
  <si>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</si>
  <si>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</si>
  <si>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</si>
  <si>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</si>
  <si>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</si>
  <si>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</si>
  <si>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</si>
  <si>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</si>
  <si>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</si>
  <si>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</si>
  <si>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</si>
  <si>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</si>
  <si>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</si>
  <si>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</si>
  <si>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</si>
  <si>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</si>
  <si>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</si>
  <si>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</si>
  <si>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</si>
  <si>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</si>
  <si>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</si>
  <si>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</si>
  <si>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</si>
  <si>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</si>
  <si>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</si>
  <si>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</si>
  <si>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</si>
  <si>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</si>
  <si>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</si>
  <si>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</si>
  <si>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</si>
  <si>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</si>
  <si>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</si>
  <si>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</si>
  <si>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</si>
  <si>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</si>
  <si>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</si>
  <si>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</si>
  <si>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</si>
  <si>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</si>
  <si>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</si>
  <si>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</si>
  <si>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</si>
  <si>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</si>
  <si>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</si>
  <si>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</si>
  <si>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</si>
  <si>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</si>
  <si>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</si>
  <si>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</si>
  <si>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</si>
  <si>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</si>
  <si>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</si>
  <si>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</si>
  <si>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</si>
  <si>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</si>
  <si>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</si>
  <si>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</si>
  <si>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</si>
  <si>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</si>
  <si>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</si>
  <si>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</si>
  <si>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</si>
  <si>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</si>
  <si>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</si>
  <si>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</si>
  <si>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</si>
  <si>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</si>
  <si>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</si>
  <si>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</si>
  <si>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</si>
  <si>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</si>
  <si>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</si>
  <si>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</si>
  <si>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</si>
  <si>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</si>
  <si>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</si>
  <si>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</si>
  <si>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</si>
  <si>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</si>
  <si>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</si>
  <si>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</si>
  <si>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</si>
  <si>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</si>
  <si>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</si>
  <si>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</si>
  <si>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</si>
  <si>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</si>
  <si>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</si>
  <si>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</si>
  <si>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</si>
  <si>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</si>
  <si>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</si>
  <si>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</si>
  <si>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</si>
  <si>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</si>
  <si>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</si>
  <si>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</si>
  <si>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</si>
  <si>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</si>
  <si>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</si>
  <si>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</si>
  <si>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</si>
  <si>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</si>
  <si>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</si>
  <si>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</si>
  <si>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</si>
  <si>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</si>
  <si>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</si>
  <si>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</si>
  <si>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</si>
  <si>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</si>
  <si>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</si>
  <si>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</si>
  <si>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</si>
  <si>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</si>
  <si>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</si>
  <si>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</si>
  <si>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</si>
  <si>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</si>
  <si>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</si>
  <si>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</si>
  <si>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</si>
  <si>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</si>
  <si>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</si>
  <si>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</si>
  <si>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</si>
  <si>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</si>
  <si>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</si>
  <si>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</si>
  <si>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</si>
  <si>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</si>
  <si>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</si>
  <si>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</si>
  <si>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</si>
  <si>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</si>
  <si>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</si>
  <si>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</si>
  <si>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</si>
  <si>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</si>
  <si>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</si>
  <si>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</si>
  <si>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</si>
  <si>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</si>
  <si>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</si>
  <si>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</si>
  <si>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</si>
  <si>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</si>
  <si>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</si>
  <si>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</si>
  <si>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</si>
  <si>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</si>
  <si>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</si>
  <si>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</si>
  <si>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</si>
  <si>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</si>
  <si>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</si>
  <si>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</si>
  <si>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</si>
  <si>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</si>
  <si>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</si>
  <si>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</si>
  <si>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</si>
  <si>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</si>
  <si>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</si>
  <si>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</si>
  <si>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</si>
  <si>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</si>
  <si>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</si>
  <si>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</si>
  <si>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</si>
  <si>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</si>
  <si>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</si>
  <si>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</si>
  <si>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</si>
  <si>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</si>
  <si>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</si>
  <si>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</si>
  <si>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</si>
  <si>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</si>
  <si>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</si>
  <si>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</si>
  <si>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</si>
  <si>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</si>
  <si>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</si>
  <si>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</si>
  <si>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</si>
  <si>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</si>
  <si>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</si>
  <si>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</si>
  <si>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</si>
  <si>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</si>
  <si>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</si>
  <si>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</si>
  <si>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</si>
  <si>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</si>
  <si>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</si>
  <si>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</si>
  <si>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</si>
  <si>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</si>
  <si>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</si>
  <si>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</si>
  <si>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</si>
  <si>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</si>
  <si>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</si>
  <si>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</si>
  <si>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</si>
  <si>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</si>
  <si>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</si>
  <si>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</si>
  <si>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</si>
  <si>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</si>
  <si>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</si>
  <si>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</si>
  <si>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</si>
  <si>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</si>
  <si>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</si>
  <si>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</si>
  <si>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</si>
  <si>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</si>
  <si>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</si>
  <si>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</si>
  <si>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</si>
  <si>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</si>
  <si>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</si>
  <si>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</si>
  <si>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</si>
  <si>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</si>
  <si>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</si>
  <si>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</si>
  <si>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</si>
  <si>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</si>
  <si>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</si>
  <si>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</si>
  <si>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</si>
  <si>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</si>
  <si>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</si>
  <si>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</si>
  <si>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</si>
  <si>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</si>
  <si>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</si>
  <si>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</si>
  <si>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</si>
  <si>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</si>
  <si>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</si>
  <si>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</si>
  <si>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</si>
  <si>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</si>
  <si>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</si>
  <si>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</si>
  <si>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</si>
  <si>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</si>
  <si>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</si>
  <si>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</si>
  <si>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</si>
  <si>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</si>
  <si>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</si>
  <si>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</si>
  <si>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</si>
  <si>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</si>
  <si>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</si>
  <si>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</si>
  <si>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</si>
  <si>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</si>
  <si>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</si>
  <si>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</si>
  <si>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</si>
  <si>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</si>
  <si>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</si>
  <si>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</si>
  <si>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</si>
  <si>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</si>
  <si>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</si>
  <si>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</si>
  <si>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</si>
  <si>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</si>
  <si>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</si>
  <si>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</si>
  <si>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</si>
  <si>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</si>
  <si>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</si>
  <si>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</si>
  <si>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</si>
  <si>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</si>
  <si>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</si>
  <si>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</si>
  <si>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</si>
  <si>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</si>
  <si>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</si>
  <si>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</si>
  <si>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</si>
  <si>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</si>
  <si>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</si>
  <si>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</si>
  <si>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</si>
  <si>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</si>
  <si>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</si>
  <si>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</si>
  <si>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</si>
  <si>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</si>
  <si>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</si>
  <si>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</si>
  <si>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</si>
  <si>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</si>
  <si>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</si>
  <si>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</si>
  <si>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</si>
  <si>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</si>
  <si>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</si>
  <si>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</si>
  <si>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</si>
  <si>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</si>
  <si>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</si>
  <si>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</si>
  <si>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</si>
  <si>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</si>
  <si>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</si>
  <si>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</si>
  <si>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</si>
  <si>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</si>
  <si>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</si>
  <si>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</si>
  <si>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</si>
  <si>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</si>
  <si>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</si>
  <si>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</si>
  <si>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</si>
  <si>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</si>
  <si>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</si>
  <si>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</si>
  <si>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</si>
  <si>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</si>
  <si>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</si>
  <si>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</si>
  <si>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</si>
  <si>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</si>
  <si>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</si>
  <si>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</si>
  <si>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</si>
  <si>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</si>
  <si>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</si>
  <si>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</si>
  <si>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</si>
  <si>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</si>
  <si>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</si>
  <si>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</si>
  <si>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</si>
  <si>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</si>
  <si>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</si>
  <si>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</si>
  <si>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</si>
  <si>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</si>
  <si>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</si>
  <si>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</si>
  <si>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</si>
  <si>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</si>
  <si>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</si>
  <si>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</si>
  <si>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</si>
  <si>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</si>
  <si>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</si>
  <si>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</si>
  <si>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</si>
  <si>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</si>
  <si>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</si>
  <si>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</si>
  <si>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</si>
  <si>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</si>
  <si>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</si>
  <si>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</si>
  <si>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</si>
  <si>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</si>
  <si>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</si>
  <si>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</si>
  <si>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</si>
  <si>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</si>
  <si>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</si>
  <si>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</si>
  <si>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</si>
  <si>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</si>
  <si>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</si>
  <si>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</si>
  <si>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</si>
  <si>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</si>
  <si>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</si>
  <si>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</si>
  <si>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</si>
  <si>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</si>
  <si>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</si>
  <si>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</si>
  <si>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</si>
  <si>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</si>
  <si>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</si>
  <si>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</si>
  <si>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</si>
  <si>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</si>
  <si>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</si>
  <si>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</si>
  <si>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</si>
  <si>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</si>
  <si>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</si>
  <si>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</si>
  <si>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</si>
  <si>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</si>
  <si>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</si>
  <si>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</si>
  <si>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</si>
  <si>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</si>
  <si>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</si>
  <si>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</si>
  <si>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</si>
  <si>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</si>
  <si>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</si>
  <si>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</si>
  <si>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</si>
  <si>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</si>
  <si>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</si>
  <si>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</si>
  <si>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</si>
  <si>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</si>
  <si>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</si>
  <si>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</si>
  <si>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</si>
  <si>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</si>
  <si>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</si>
  <si>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</si>
  <si>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</si>
  <si>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</si>
  <si>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</si>
  <si>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</si>
  <si>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</si>
  <si>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</si>
  <si>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</si>
  <si>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</si>
  <si>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</si>
  <si>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</si>
  <si>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</si>
  <si>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</si>
  <si>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</si>
  <si>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</si>
  <si>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</si>
  <si>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</si>
  <si>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</si>
  <si>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</si>
  <si>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</si>
  <si>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</si>
  <si>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</si>
  <si>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</si>
  <si>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</si>
  <si>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</si>
  <si>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</si>
  <si>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</si>
  <si>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</si>
  <si>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</si>
  <si>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</si>
  <si>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</si>
  <si>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</si>
  <si>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</si>
  <si>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</si>
  <si>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</si>
  <si>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</si>
  <si>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</si>
  <si>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</si>
  <si>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</si>
  <si>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</si>
  <si>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</si>
  <si>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</si>
  <si>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</si>
  <si>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</si>
  <si>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</si>
  <si>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</si>
  <si>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</si>
  <si>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</si>
  <si>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</si>
  <si>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</si>
  <si>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</si>
  <si>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</si>
  <si>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</si>
  <si>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</si>
  <si>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</si>
  <si>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</si>
  <si>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</si>
  <si>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</si>
  <si>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</si>
  <si>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</si>
  <si>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</si>
  <si>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</si>
  <si>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</si>
  <si>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</si>
  <si>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</si>
  <si>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</si>
  <si>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</si>
  <si>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</si>
  <si>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</si>
  <si>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</si>
  <si>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</si>
  <si>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</si>
  <si>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</si>
  <si>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</si>
  <si>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</si>
  <si>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</si>
  <si>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</si>
  <si>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</si>
  <si>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</si>
  <si>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</si>
  <si>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</si>
  <si>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</si>
  <si>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</si>
  <si>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</si>
  <si>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</si>
  <si>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</si>
  <si>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</si>
  <si>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</si>
  <si>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</si>
  <si>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</si>
  <si>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</si>
  <si>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</si>
  <si>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</si>
  <si>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</si>
  <si>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</si>
  <si>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</si>
  <si>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</si>
  <si>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</si>
  <si>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</si>
  <si>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</si>
  <si>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</si>
  <si>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</si>
  <si>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</si>
  <si>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</si>
  <si>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</si>
  <si>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</si>
  <si>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</si>
  <si>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</si>
  <si>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</si>
  <si>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</si>
  <si>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</si>
  <si>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</si>
  <si>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</si>
  <si>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</si>
  <si>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</si>
  <si>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</si>
  <si>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</si>
  <si>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</si>
  <si>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</si>
  <si>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</si>
  <si>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</si>
  <si>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</si>
  <si>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</si>
  <si>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</si>
  <si>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</si>
  <si>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</si>
  <si>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</si>
  <si>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</si>
  <si>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</si>
  <si>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</si>
  <si>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</si>
  <si>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</si>
  <si>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</si>
  <si>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</si>
  <si>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</si>
  <si>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</si>
  <si>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</si>
  <si>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</si>
  <si>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</si>
  <si>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</si>
  <si>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</si>
  <si>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</si>
  <si>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</si>
  <si>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</si>
  <si>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</si>
  <si>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</si>
  <si>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</si>
  <si>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</si>
  <si>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</si>
  <si>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</si>
  <si>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</si>
  <si>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</si>
  <si>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</si>
  <si>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</si>
  <si>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</si>
  <si>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</si>
  <si>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</si>
  <si>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</si>
  <si>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</si>
  <si>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</si>
  <si>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</si>
  <si>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</si>
  <si>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</si>
  <si>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</si>
  <si>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</si>
  <si>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</si>
  <si>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</si>
  <si>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</si>
  <si>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</si>
  <si>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</si>
  <si>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</si>
  <si>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</si>
  <si>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</si>
  <si>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</si>
  <si>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</si>
  <si>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</si>
  <si>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</si>
  <si>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</si>
  <si>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</si>
  <si>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</si>
  <si>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</si>
  <si>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</si>
  <si>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</si>
  <si>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</si>
  <si>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</si>
  <si>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</si>
  <si>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</si>
  <si>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</si>
  <si>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</si>
  <si>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</si>
  <si>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</si>
  <si>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</si>
  <si>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</si>
  <si>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</si>
  <si>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</si>
  <si>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</si>
  <si>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</si>
  <si>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</si>
  <si>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</si>
  <si>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</si>
  <si>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</si>
  <si>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</si>
  <si>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</si>
  <si>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</si>
  <si>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</si>
  <si>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</si>
  <si>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</si>
  <si>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</si>
  <si>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</si>
  <si>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</si>
  <si>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</si>
  <si>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</si>
  <si>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</si>
  <si>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</si>
  <si>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</si>
  <si>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</si>
  <si>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</si>
  <si>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</si>
  <si>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</si>
  <si>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</si>
  <si>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</si>
  <si>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</si>
  <si>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</si>
  <si>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</si>
  <si>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</si>
  <si>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</si>
  <si>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</si>
  <si>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</si>
  <si>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</si>
  <si>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</si>
  <si>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</si>
  <si>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</si>
  <si>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</si>
  <si>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</si>
  <si>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</si>
  <si>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</si>
  <si>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</si>
  <si>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</si>
  <si>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</si>
  <si>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</si>
  <si>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</si>
  <si>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</si>
  <si>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</si>
  <si>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</si>
  <si>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</si>
  <si>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</si>
  <si>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</si>
  <si>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</si>
  <si>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</si>
  <si>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</si>
  <si>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</si>
  <si>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</si>
  <si>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</si>
  <si>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</si>
  <si>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</si>
  <si>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</si>
  <si>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</si>
  <si>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</si>
  <si>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</si>
  <si>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</si>
  <si>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</si>
  <si>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</si>
  <si>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</si>
  <si>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</si>
  <si>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</si>
  <si>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</si>
  <si>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</si>
  <si>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</si>
  <si>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</si>
  <si>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</si>
  <si>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</si>
  <si>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</si>
  <si>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</si>
  <si>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</si>
  <si>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</si>
  <si>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</si>
  <si>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</si>
  <si>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</si>
  <si>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</si>
  <si>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</si>
  <si>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</si>
  <si>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</si>
  <si>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</si>
  <si>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</si>
  <si>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</si>
  <si>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</si>
  <si>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</si>
  <si>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</si>
  <si>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</si>
  <si>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</si>
  <si>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</si>
  <si>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</si>
  <si>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</si>
  <si>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</si>
  <si>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</si>
  <si>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</si>
  <si>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</si>
  <si>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</si>
  <si>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</si>
  <si>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</si>
  <si>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</si>
  <si>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</si>
  <si>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</si>
  <si>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</si>
  <si>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</si>
  <si>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</si>
  <si>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</si>
  <si>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</si>
  <si>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</si>
  <si>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</si>
  <si>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</si>
  <si>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</si>
  <si>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</si>
  <si>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</si>
  <si>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</si>
  <si>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</si>
  <si>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</si>
  <si>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</si>
  <si>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</si>
  <si>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</si>
  <si>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</si>
  <si>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</si>
  <si>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</si>
  <si>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</si>
  <si>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</si>
  <si>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</si>
  <si>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</si>
  <si>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</si>
  <si>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</si>
  <si>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</si>
  <si>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</si>
  <si>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</si>
  <si>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</si>
  <si>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</si>
  <si>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</si>
  <si>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</si>
  <si>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</si>
  <si>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</si>
  <si>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</si>
  <si>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</si>
  <si>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</si>
  <si>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</si>
  <si>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</si>
  <si>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</si>
  <si>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</si>
  <si>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</si>
  <si>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</si>
  <si>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</si>
  <si>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</si>
  <si>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</si>
  <si>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</si>
  <si>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</si>
  <si>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</si>
  <si>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</si>
  <si>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</si>
  <si>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</si>
  <si>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</si>
  <si>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</si>
  <si>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</si>
  <si>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</si>
  <si>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</si>
  <si>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</si>
  <si>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</si>
  <si>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</si>
  <si>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</si>
  <si>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</si>
  <si>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</si>
  <si>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</si>
  <si>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</si>
  <si>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</si>
  <si>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</si>
  <si>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</si>
  <si>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</si>
  <si>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</si>
  <si>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</si>
  <si>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</si>
  <si>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</si>
  <si>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</si>
  <si>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</si>
  <si>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</si>
  <si>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</si>
  <si>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</si>
  <si>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</si>
  <si>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</si>
  <si>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</si>
  <si>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</si>
  <si>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</si>
  <si>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</si>
  <si>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</si>
  <si>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</si>
  <si>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</si>
  <si>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</si>
  <si>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</si>
  <si>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</si>
  <si>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</si>
  <si>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</si>
  <si>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</si>
  <si>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</si>
  <si>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</si>
  <si>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</si>
  <si>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</si>
  <si>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</si>
  <si>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</si>
  <si>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</si>
  <si>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</si>
  <si>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</si>
  <si>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</si>
  <si>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</si>
  <si>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</si>
  <si>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</si>
  <si>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</si>
  <si>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</si>
  <si>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</si>
  <si>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</si>
  <si>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</si>
  <si>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</si>
  <si>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</si>
  <si>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</si>
  <si>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</si>
  <si>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</si>
  <si>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</si>
  <si>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</si>
  <si>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</si>
  <si>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</si>
  <si>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</si>
  <si>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</si>
  <si>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</si>
  <si>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</si>
  <si>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</si>
  <si>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</si>
  <si>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</si>
  <si>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</si>
  <si>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</si>
  <si>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</si>
  <si>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</si>
  <si>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</si>
  <si>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</si>
  <si>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</si>
  <si>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</si>
  <si>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</si>
  <si>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</si>
  <si>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</si>
  <si>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</si>
  <si>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</si>
  <si>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</si>
  <si>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</si>
  <si>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</si>
  <si>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</si>
  <si>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</si>
  <si>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</si>
  <si>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</si>
  <si>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</si>
  <si>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</si>
  <si>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</si>
  <si>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</si>
  <si>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</si>
  <si>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</si>
  <si>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</si>
  <si>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</si>
  <si>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</si>
  <si>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</si>
  <si>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</si>
  <si>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</si>
  <si>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</si>
  <si>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</si>
  <si>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</si>
  <si>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</si>
  <si>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</si>
  <si>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</si>
  <si>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</si>
  <si>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</si>
  <si>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</si>
  <si>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</si>
  <si>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</si>
  <si>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</si>
  <si>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</si>
  <si>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</si>
  <si>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</si>
  <si>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</si>
  <si>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</si>
  <si>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</si>
  <si>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</si>
  <si>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</si>
  <si>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</si>
  <si>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</si>
  <si>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</si>
  <si>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</si>
  <si>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</si>
  <si>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</si>
  <si>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</si>
  <si>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</si>
  <si>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</si>
  <si>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</si>
  <si>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</si>
  <si>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</si>
  <si>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</si>
  <si>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</si>
  <si>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</si>
  <si>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</si>
  <si>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</si>
  <si>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</si>
  <si>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</si>
  <si>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</si>
  <si>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</si>
  <si>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</si>
  <si>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</si>
  <si>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</si>
  <si>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</si>
  <si>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</si>
  <si>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</si>
  <si>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</si>
  <si>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</si>
  <si>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</si>
  <si>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</si>
  <si>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</si>
  <si>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</si>
  <si>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</si>
  <si>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</si>
  <si>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</si>
  <si>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</si>
  <si>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</si>
  <si>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</si>
  <si>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</si>
  <si>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</si>
  <si>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</si>
  <si>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</si>
  <si>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</si>
  <si>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</si>
  <si>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</si>
  <si>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</si>
  <si>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</si>
  <si>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</si>
  <si>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</si>
  <si>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</si>
  <si>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</si>
  <si>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</si>
  <si>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</si>
  <si>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</si>
  <si>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</si>
  <si>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</si>
  <si>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</si>
  <si>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</si>
  <si>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</si>
  <si>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</si>
  <si>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</si>
  <si>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</si>
  <si>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</si>
  <si>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</si>
  <si>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</si>
  <si>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</si>
  <si>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</si>
  <si>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</si>
  <si>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</si>
  <si>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</si>
  <si>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</si>
  <si>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</si>
  <si>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</si>
  <si>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</si>
  <si>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</si>
  <si>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</si>
  <si>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</si>
  <si>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</si>
  <si>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</si>
  <si>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</si>
  <si>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</si>
  <si>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</si>
  <si>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</si>
  <si>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</si>
  <si>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</si>
  <si>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</si>
  <si>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</si>
  <si>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</si>
  <si>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</si>
  <si>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</si>
  <si>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</si>
  <si>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</si>
  <si>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</si>
  <si>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</si>
  <si>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</si>
  <si>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</si>
  <si>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</si>
  <si>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</si>
  <si>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</si>
  <si>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</si>
  <si>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</si>
  <si>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</si>
  <si>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</si>
  <si>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</si>
  <si>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</si>
  <si>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</si>
  <si>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</si>
  <si>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</si>
  <si>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</si>
  <si>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</si>
  <si>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</si>
  <si>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</si>
  <si>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</si>
  <si>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</si>
  <si>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</si>
  <si>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</si>
  <si>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</si>
  <si>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</si>
  <si>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</si>
  <si>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</si>
  <si>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</si>
  <si>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</si>
  <si>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</si>
  <si>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</si>
  <si>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</si>
  <si>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</si>
  <si>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</si>
  <si>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</si>
  <si>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</si>
  <si>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</si>
  <si>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</si>
  <si>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</si>
  <si>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</si>
  <si>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</si>
  <si>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</si>
  <si>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</si>
  <si>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</si>
  <si>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</si>
  <si>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</si>
  <si>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</si>
  <si>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</si>
  <si>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</si>
  <si>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</si>
  <si>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</si>
  <si>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</si>
  <si>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</si>
  <si>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</si>
  <si>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</si>
  <si>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</si>
  <si>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</si>
  <si>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</si>
  <si>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</si>
  <si>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</si>
  <si>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</si>
  <si>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</si>
  <si>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</si>
  <si>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</si>
  <si>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</si>
  <si>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</si>
  <si>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</si>
  <si>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</si>
  <si>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</si>
  <si>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</si>
  <si>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</si>
  <si>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</si>
  <si>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</si>
  <si>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</si>
  <si>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</si>
  <si>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</si>
  <si>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</si>
  <si>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</si>
  <si>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</si>
  <si>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</si>
  <si>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</si>
  <si>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</si>
  <si>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</si>
  <si>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</si>
  <si>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</si>
  <si>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</si>
  <si>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</si>
  <si>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</si>
  <si>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</si>
  <si>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</si>
  <si>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</si>
  <si>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</si>
  <si>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</si>
  <si>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</si>
  <si>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</si>
  <si>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</si>
  <si>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</si>
  <si>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</si>
  <si>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</si>
  <si>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</si>
  <si>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</si>
  <si>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</si>
  <si>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</si>
  <si>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</si>
  <si>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</si>
  <si>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</si>
  <si>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</si>
  <si>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</si>
  <si>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</si>
  <si>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</si>
  <si>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</si>
  <si>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</si>
  <si>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</si>
  <si>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</si>
  <si>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</si>
  <si>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</si>
  <si>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</si>
  <si>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</si>
  <si>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</si>
  <si>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</si>
  <si>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</si>
  <si>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</si>
  <si>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</si>
  <si>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</si>
  <si>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</si>
  <si>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</si>
  <si>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</si>
  <si>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</si>
  <si>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</si>
  <si>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</si>
  <si>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</si>
  <si>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</si>
  <si>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</si>
  <si>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</si>
  <si>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</si>
  <si>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</si>
  <si>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</si>
  <si>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</si>
  <si>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</si>
  <si>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</si>
  <si>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</si>
  <si>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</si>
  <si>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</si>
  <si>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</si>
  <si>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</si>
  <si>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</si>
  <si>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</si>
  <si>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</si>
  <si>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</si>
  <si>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</si>
  <si>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</si>
  <si>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</si>
  <si>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</si>
  <si>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</si>
  <si>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</si>
  <si>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</si>
  <si>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</si>
  <si>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</si>
  <si>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</si>
  <si>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</si>
  <si>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</si>
  <si>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</si>
  <si>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</si>
  <si>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</si>
  <si>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</si>
  <si>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</si>
  <si>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</si>
  <si>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</si>
  <si>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</si>
  <si>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</si>
  <si>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</si>
  <si>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</si>
  <si>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</si>
  <si>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</si>
  <si>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</si>
  <si>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</si>
  <si>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</si>
  <si>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</si>
  <si>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</si>
  <si>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</si>
  <si>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</si>
  <si>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</si>
  <si>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</si>
  <si>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</si>
  <si>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</si>
  <si>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</si>
  <si>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</si>
  <si>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</si>
  <si>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</si>
  <si>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</si>
  <si>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</si>
  <si>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</si>
  <si>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</si>
  <si>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</si>
  <si>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</si>
  <si>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</si>
  <si>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</si>
  <si>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</si>
  <si>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</si>
  <si>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</si>
  <si>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</si>
  <si>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</si>
  <si>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</si>
  <si>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</si>
  <si>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</si>
  <si>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</si>
  <si>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</si>
  <si>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</si>
  <si>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</si>
  <si>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</si>
  <si>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</si>
  <si>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</si>
  <si>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</si>
  <si>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</si>
  <si>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</si>
  <si>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</si>
  <si>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</si>
  <si>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</si>
  <si>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</si>
  <si>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</si>
  <si>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</si>
  <si>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</si>
  <si>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</si>
  <si>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</si>
  <si>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</si>
  <si>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</si>
  <si>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</si>
  <si>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</si>
  <si>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</si>
  <si>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</si>
  <si>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</si>
  <si>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</si>
  <si>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</si>
  <si>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</si>
  <si>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</si>
  <si>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</si>
  <si>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</si>
  <si>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</si>
  <si>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</si>
  <si>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</si>
  <si>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</si>
  <si>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</si>
  <si>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</si>
  <si>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</si>
  <si>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</si>
  <si>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</si>
  <si>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</si>
  <si>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</si>
  <si>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</si>
  <si>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</si>
  <si>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</si>
  <si>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</si>
  <si>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</si>
  <si>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</si>
  <si>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</si>
  <si>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</si>
  <si>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</si>
  <si>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</si>
  <si>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</si>
  <si>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</si>
  <si>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</si>
  <si>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</si>
  <si>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</si>
  <si>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</si>
  <si>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</si>
  <si>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</si>
  <si>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</si>
  <si>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</si>
  <si>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</si>
  <si>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</si>
  <si>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</si>
  <si>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</si>
  <si>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</si>
  <si>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</si>
  <si>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</si>
  <si>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</si>
  <si>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</si>
  <si>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</si>
  <si>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</si>
  <si>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</si>
  <si>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</si>
  <si>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</si>
  <si>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</si>
  <si>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</si>
  <si>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</si>
  <si>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</si>
  <si>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</si>
  <si>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</si>
  <si>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</si>
  <si>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</si>
  <si>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</si>
  <si>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</si>
  <si>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</si>
  <si>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</si>
  <si>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</si>
  <si>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</si>
  <si>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</si>
  <si>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</si>
  <si>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</si>
  <si>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</si>
  <si>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</si>
  <si>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</si>
  <si>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</si>
  <si>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</si>
  <si>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</si>
  <si>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</si>
  <si>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</si>
  <si>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</si>
  <si>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</si>
  <si>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</si>
  <si>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</si>
  <si>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</si>
  <si>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</si>
  <si>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</si>
  <si>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</si>
  <si>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</si>
  <si>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</si>
  <si>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</si>
  <si>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</si>
  <si>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</si>
  <si>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</si>
  <si>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</si>
  <si>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</si>
  <si>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</si>
  <si>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</si>
  <si>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</si>
  <si>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</si>
  <si>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</si>
  <si>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</si>
  <si>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</si>
  <si>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</si>
  <si>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</si>
  <si>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</si>
  <si>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</si>
  <si>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</si>
  <si>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</si>
  <si>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</si>
  <si>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</si>
  <si>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</si>
  <si>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</si>
  <si>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</si>
  <si>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</si>
  <si>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</si>
  <si>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</si>
  <si>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</si>
  <si>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</si>
  <si>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</si>
  <si>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</si>
  <si>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</si>
  <si>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</si>
  <si>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</si>
  <si>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</si>
  <si>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</si>
  <si>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</si>
  <si>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</si>
  <si>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</si>
  <si>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</si>
  <si>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</si>
  <si>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</si>
  <si>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</si>
  <si>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</si>
  <si>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</si>
  <si>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</si>
  <si>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</si>
  <si>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</si>
  <si>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</si>
  <si>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</si>
  <si>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</si>
  <si>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</si>
  <si>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</si>
  <si>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</si>
  <si>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</si>
  <si>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</si>
  <si>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</si>
  <si>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</si>
  <si>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</si>
  <si>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</si>
  <si>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</si>
  <si>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</si>
  <si>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</si>
  <si>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</si>
  <si>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</si>
  <si>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</si>
  <si>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</si>
  <si>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</si>
  <si>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</si>
  <si>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</si>
  <si>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</si>
  <si>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</si>
  <si>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</si>
  <si>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</si>
  <si>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</si>
  <si>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</si>
  <si>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</si>
  <si>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</si>
  <si>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</si>
  <si>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</si>
  <si>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</si>
  <si>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</si>
  <si>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</si>
  <si>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</si>
  <si>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</si>
  <si>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</si>
  <si>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</si>
  <si>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</si>
  <si>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</si>
  <si>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</si>
  <si>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</si>
  <si>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</si>
  <si>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</si>
  <si>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</si>
  <si>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</si>
  <si>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</si>
  <si>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</si>
  <si>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</si>
  <si>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</si>
  <si>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</si>
  <si>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</si>
  <si>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</si>
  <si>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</si>
  <si>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</si>
  <si>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</si>
  <si>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</si>
  <si>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</si>
  <si>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</si>
  <si>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</si>
  <si>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</si>
  <si>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</si>
  <si>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</si>
  <si>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</si>
  <si>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</si>
  <si>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</si>
  <si>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</si>
  <si>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</si>
  <si>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</si>
  <si>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</si>
  <si>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</si>
  <si>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</si>
  <si>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</si>
  <si>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</si>
  <si>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</si>
  <si>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</si>
  <si>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</si>
  <si>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</si>
  <si>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</si>
  <si>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</si>
  <si>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</si>
  <si>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</si>
  <si>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</si>
  <si>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</si>
  <si>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</si>
  <si>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</si>
  <si>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</si>
  <si>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</si>
  <si>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</si>
  <si>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</si>
  <si>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</si>
  <si>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</si>
  <si>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</si>
  <si>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</si>
  <si>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</si>
  <si>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</si>
  <si>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</si>
  <si>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</si>
  <si>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</si>
  <si>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</si>
  <si>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</si>
  <si>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</si>
  <si>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</si>
  <si>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</si>
  <si>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</si>
  <si>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</si>
  <si>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</si>
  <si>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</si>
  <si>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</si>
  <si>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</si>
  <si>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</si>
  <si>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</si>
  <si>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</si>
  <si>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</si>
  <si>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</si>
  <si>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</si>
  <si>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</si>
  <si>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</si>
  <si>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</si>
  <si>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</si>
  <si>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</si>
  <si>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</si>
  <si>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</si>
  <si>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</si>
  <si>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</si>
  <si>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</si>
  <si>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</si>
  <si>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</si>
  <si>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</si>
  <si>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</si>
  <si>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</si>
  <si>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</si>
  <si>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</si>
  <si>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</si>
  <si>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</si>
  <si>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</si>
  <si>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</si>
  <si>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</si>
  <si>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</si>
  <si>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</si>
  <si>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</si>
  <si>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</si>
  <si>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</si>
  <si>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</si>
  <si>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</si>
  <si>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</si>
  <si>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</si>
  <si>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</si>
  <si>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</si>
  <si>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</si>
  <si>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</si>
  <si>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</si>
  <si>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</si>
  <si>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</si>
  <si>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</si>
  <si>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</si>
  <si>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</si>
  <si>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</si>
  <si>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</si>
  <si>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</si>
  <si>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</si>
  <si>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</si>
  <si>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</si>
  <si>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</si>
  <si>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</si>
  <si>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</si>
  <si>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</si>
  <si>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</si>
  <si>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</si>
  <si>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</si>
  <si>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</si>
  <si>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</si>
  <si>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</si>
  <si>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</si>
  <si>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</si>
  <si>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</si>
  <si>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</si>
  <si>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</si>
  <si>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</si>
  <si>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</si>
  <si>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</si>
  <si>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</si>
  <si>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</si>
  <si>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</si>
  <si>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</si>
  <si>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</si>
  <si>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</si>
  <si>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</si>
  <si>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</si>
  <si>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</si>
  <si>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</si>
  <si>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</si>
  <si>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</si>
  <si>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</si>
  <si>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</si>
  <si>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</si>
  <si>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</si>
  <si>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</si>
  <si>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</si>
  <si>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</si>
  <si>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</si>
  <si>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</si>
  <si>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</si>
  <si>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</si>
  <si>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</si>
  <si>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</si>
  <si>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</si>
  <si>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</si>
  <si>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</si>
  <si>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</si>
  <si>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</si>
  <si>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</si>
  <si>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</si>
  <si>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</si>
  <si>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</si>
  <si>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</si>
  <si>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</si>
  <si>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</si>
  <si>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</si>
  <si>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</si>
  <si>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</si>
  <si>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</si>
  <si>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</si>
  <si>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</si>
  <si>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</si>
  <si>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</si>
  <si>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</si>
  <si>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</si>
  <si>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</si>
  <si>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</si>
  <si>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</si>
  <si>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</si>
  <si>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</si>
  <si>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</si>
  <si>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</si>
  <si>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</si>
  <si>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</si>
  <si>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</si>
  <si>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</si>
  <si>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</si>
  <si>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</si>
  <si>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</si>
  <si>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</si>
  <si>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</si>
  <si>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</si>
  <si>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</si>
  <si>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</si>
  <si>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</si>
  <si>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</si>
  <si>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</si>
  <si>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</si>
  <si>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</si>
  <si>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</si>
  <si>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</si>
  <si>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</si>
  <si>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</si>
  <si>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</si>
  <si>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</si>
  <si>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</si>
  <si>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</si>
  <si>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</si>
  <si>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</si>
  <si>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</si>
  <si>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</si>
  <si>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</si>
  <si>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</si>
  <si>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</si>
  <si>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</si>
  <si>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</si>
  <si>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</si>
  <si>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</si>
  <si>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</si>
  <si>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</si>
  <si>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</si>
  <si>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</si>
  <si>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</si>
  <si>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</si>
  <si>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</si>
  <si>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</si>
  <si>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</si>
  <si>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</si>
  <si>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</si>
  <si>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</si>
  <si>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</si>
  <si>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</si>
  <si>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</si>
  <si>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</si>
  <si>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</si>
  <si>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</si>
  <si>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</si>
  <si>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</si>
  <si>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</si>
  <si>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</si>
  <si>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</si>
  <si>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</si>
  <si>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</si>
  <si>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</si>
  <si>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</si>
  <si>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</si>
  <si>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</si>
  <si>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</si>
  <si>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</si>
  <si>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</si>
  <si>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</si>
  <si>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</si>
  <si>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</si>
  <si>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</si>
  <si>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</si>
  <si>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</si>
  <si>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</si>
  <si>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</si>
  <si>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</si>
  <si>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</si>
  <si>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</si>
  <si>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</si>
  <si>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</si>
  <si>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</si>
  <si>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</si>
  <si>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</si>
  <si>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</si>
  <si>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</si>
  <si>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</si>
  <si>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</si>
  <si>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</si>
  <si>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</si>
  <si>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</si>
  <si>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</si>
  <si>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</si>
  <si>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</si>
  <si>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</si>
  <si>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</si>
  <si>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</si>
  <si>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</si>
  <si>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</si>
  <si>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</si>
  <si>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</si>
  <si>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</si>
  <si>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</si>
  <si>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</si>
  <si>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</si>
  <si>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</si>
  <si>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</si>
  <si>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</si>
  <si>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</si>
  <si>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</si>
  <si>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</si>
  <si>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</si>
  <si>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</si>
  <si>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</si>
  <si>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</si>
  <si>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</si>
  <si>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</si>
  <si>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</si>
  <si>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</si>
  <si>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</si>
  <si>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</si>
  <si>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</si>
  <si>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</si>
  <si>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</si>
  <si>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</si>
  <si>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</si>
  <si>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</si>
  <si>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</si>
  <si>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</si>
  <si>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</si>
  <si>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</si>
  <si>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</si>
  <si>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</si>
  <si>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</si>
  <si>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</si>
  <si>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</si>
  <si>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</si>
  <si>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</si>
  <si>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</si>
  <si>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</si>
  <si>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</si>
  <si>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</si>
  <si>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</si>
  <si>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</si>
  <si>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</si>
  <si>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</si>
  <si>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</si>
  <si>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</si>
  <si>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</si>
  <si>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</si>
  <si>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</si>
  <si>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</si>
  <si>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</si>
  <si>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</si>
  <si>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</si>
  <si>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</si>
  <si>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</si>
  <si>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</si>
  <si>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</si>
  <si>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</si>
  <si>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</si>
  <si>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</si>
  <si>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</si>
  <si>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</si>
  <si>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</si>
  <si>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</si>
  <si>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</si>
  <si>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</si>
  <si>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</si>
  <si>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</si>
  <si>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</si>
  <si>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</si>
  <si>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</si>
  <si>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</si>
  <si>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</si>
  <si>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</si>
  <si>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</si>
  <si>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</si>
  <si>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</si>
  <si>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</si>
  <si>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</si>
  <si>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</si>
  <si>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</si>
  <si>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</si>
  <si>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</si>
  <si>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</si>
  <si>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</si>
  <si>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</si>
  <si>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</si>
  <si>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</si>
  <si>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</si>
  <si>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</si>
  <si>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</si>
  <si>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</si>
  <si>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</si>
  <si>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</si>
  <si>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</si>
  <si>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</si>
  <si>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</si>
  <si>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</si>
  <si>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</si>
  <si>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</si>
  <si>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</si>
  <si>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</si>
  <si>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</si>
  <si>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</si>
  <si>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</si>
  <si>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</si>
  <si>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</si>
  <si>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</si>
  <si>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</si>
  <si>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</si>
  <si>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</si>
  <si>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</si>
  <si>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</si>
  <si>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</si>
  <si>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</si>
  <si>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</si>
  <si>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</si>
  <si>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</si>
  <si>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</si>
  <si>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</si>
  <si>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</si>
  <si>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</si>
  <si>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</si>
  <si>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</si>
  <si>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</si>
  <si>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</si>
  <si>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</si>
  <si>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</si>
  <si>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</si>
  <si>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</si>
  <si>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</si>
  <si>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</si>
  <si>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</si>
  <si>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</si>
  <si>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</si>
  <si>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</si>
  <si>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</si>
  <si>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</si>
  <si>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</si>
  <si>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</si>
  <si>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</si>
  <si>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</si>
  <si>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</si>
  <si>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</si>
  <si>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</si>
  <si>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</si>
  <si>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</si>
  <si>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</si>
  <si>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</si>
  <si>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</si>
  <si>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</si>
  <si>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</si>
  <si>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</si>
  <si>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</si>
  <si>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</si>
  <si>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</si>
  <si>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</si>
  <si>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</si>
  <si>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</si>
  <si>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</si>
  <si>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</si>
  <si>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</si>
  <si>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</si>
  <si>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</si>
  <si>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</si>
  <si>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</si>
  <si>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</si>
  <si>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</si>
  <si>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</si>
  <si>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</si>
  <si>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</si>
  <si>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</si>
  <si>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</si>
  <si>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</si>
  <si>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</si>
  <si>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</si>
  <si>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</si>
  <si>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</si>
  <si>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</si>
  <si>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</si>
  <si>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</si>
  <si>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</si>
  <si>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</si>
  <si>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</si>
  <si>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</si>
  <si>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</si>
  <si>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</si>
  <si>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</si>
  <si>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</si>
  <si>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</si>
  <si>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</si>
  <si>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</si>
  <si>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</si>
  <si>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</si>
  <si>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</si>
  <si>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</si>
  <si>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</si>
  <si>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</si>
  <si>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</si>
  <si>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</si>
  <si>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</si>
  <si>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</si>
  <si>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</si>
  <si>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</si>
  <si>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</si>
  <si>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</si>
  <si>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</si>
  <si>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</si>
  <si>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</si>
  <si>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</si>
  <si>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</si>
  <si>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</si>
  <si>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</si>
  <si>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</si>
  <si>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</si>
  <si>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</si>
  <si>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</si>
  <si>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</si>
  <si>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</si>
  <si>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</si>
  <si>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</si>
  <si>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</si>
  <si>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</si>
  <si>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</si>
  <si>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</si>
  <si>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</si>
  <si>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</si>
  <si>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</si>
  <si>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</si>
  <si>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</si>
  <si>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</si>
  <si>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</si>
  <si>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</si>
  <si>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</si>
  <si>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</si>
  <si>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</si>
  <si>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</si>
  <si>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</si>
  <si>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</si>
  <si>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</si>
  <si>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</si>
  <si>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</si>
  <si>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</si>
  <si>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</si>
  <si>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</si>
  <si>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</si>
  <si>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</si>
  <si>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</si>
  <si>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</si>
  <si>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</si>
  <si>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</si>
  <si>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</si>
  <si>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</si>
  <si>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</si>
  <si>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</si>
  <si>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</si>
  <si>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</si>
  <si>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</si>
  <si>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</si>
  <si>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</si>
  <si>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</si>
  <si>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</si>
  <si>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</si>
  <si>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</si>
  <si>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</si>
  <si>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</si>
  <si>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</si>
  <si>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</si>
  <si>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</si>
  <si>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</si>
  <si>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</si>
  <si>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</si>
  <si>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</si>
  <si>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</si>
  <si>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</si>
  <si>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</si>
  <si>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</si>
  <si>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</si>
  <si>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</si>
  <si>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</si>
  <si>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</si>
  <si>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</si>
  <si>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</si>
  <si>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</si>
  <si>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</si>
  <si>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</si>
  <si>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</si>
  <si>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</si>
  <si>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</si>
  <si>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</si>
  <si>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</si>
  <si>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</si>
  <si>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</si>
  <si>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</si>
  <si>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</si>
  <si>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</si>
  <si>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</si>
  <si>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</si>
  <si>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</si>
  <si>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</si>
  <si>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</si>
  <si>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</si>
  <si>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</si>
  <si>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</si>
  <si>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</si>
  <si>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</si>
  <si>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</si>
  <si>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</si>
  <si>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</si>
  <si>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</si>
  <si>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</si>
  <si>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</si>
  <si>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</si>
  <si>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</si>
  <si>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</si>
  <si>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</si>
  <si>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</si>
  <si>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</si>
  <si>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</si>
  <si>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</si>
  <si>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</si>
  <si>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</si>
  <si>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</si>
  <si>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</si>
  <si>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</si>
  <si>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</si>
  <si>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</si>
  <si>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</si>
  <si>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</si>
  <si>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</si>
  <si>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</si>
  <si>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</si>
  <si>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</si>
  <si>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</si>
  <si>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</si>
  <si>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</si>
  <si>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</si>
  <si>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</si>
  <si>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</si>
  <si>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</si>
  <si>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</si>
  <si>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</si>
  <si>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</si>
  <si>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</si>
  <si>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</si>
  <si>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</si>
  <si>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</si>
  <si>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</si>
  <si>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</si>
  <si>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</si>
  <si>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</si>
  <si>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</si>
  <si>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</si>
  <si>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</si>
  <si>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</si>
  <si>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</si>
  <si>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</si>
  <si>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</si>
  <si>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</si>
  <si>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</si>
  <si>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</si>
  <si>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</si>
  <si>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</si>
  <si>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</si>
  <si>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</si>
  <si>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</si>
  <si>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</si>
  <si>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</si>
  <si>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</si>
  <si>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</si>
  <si>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</si>
  <si>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</si>
  <si>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</si>
  <si>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</si>
  <si>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</si>
  <si>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</si>
  <si>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</si>
  <si>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</si>
  <si>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</si>
  <si>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</si>
  <si>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</si>
  <si>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</si>
  <si>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</si>
  <si>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</si>
  <si>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</si>
  <si>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</si>
  <si>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</si>
  <si>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</si>
  <si>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</si>
  <si>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</si>
  <si>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</si>
  <si>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</si>
  <si>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</si>
  <si>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</si>
  <si>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</si>
  <si>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</si>
  <si>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</si>
  <si>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</si>
  <si>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</si>
  <si>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</si>
  <si>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</si>
  <si>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</si>
  <si>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</si>
  <si>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</si>
  <si>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</si>
  <si>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</si>
  <si>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</si>
  <si>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</si>
  <si>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</si>
  <si>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</si>
  <si>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</si>
  <si>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</si>
  <si>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</si>
  <si>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</si>
  <si>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</si>
  <si>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</si>
  <si>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</si>
  <si>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</si>
  <si>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</si>
  <si>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</si>
  <si>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</si>
  <si>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</si>
  <si>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</si>
  <si>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</si>
  <si>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</si>
  <si>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</si>
  <si>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</si>
  <si>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</si>
  <si>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</si>
  <si>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</si>
  <si>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</si>
  <si>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</si>
  <si>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</si>
  <si>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</si>
  <si>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</si>
  <si>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</si>
  <si>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</si>
  <si>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</si>
  <si>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</si>
  <si>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</si>
  <si>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</si>
  <si>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</si>
  <si>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</si>
  <si>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</si>
  <si>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</si>
  <si>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</si>
  <si>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</si>
  <si>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</si>
  <si>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</si>
  <si>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</si>
  <si>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</si>
  <si>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</si>
  <si>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</si>
  <si>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</si>
  <si>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</si>
  <si>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</si>
  <si>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</si>
  <si>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</si>
  <si>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</si>
  <si>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</si>
  <si>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</si>
  <si>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</si>
  <si>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</si>
  <si>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</si>
  <si>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</si>
  <si>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</si>
  <si>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</si>
  <si>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</si>
  <si>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</si>
  <si>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</si>
  <si>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</si>
  <si>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</si>
  <si>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</si>
  <si>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</si>
  <si>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</si>
  <si>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</si>
  <si>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</si>
  <si>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</si>
  <si>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</si>
  <si>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</si>
  <si>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</si>
  <si>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</si>
  <si>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</si>
  <si>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</si>
  <si>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</si>
  <si>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</si>
  <si>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</si>
  <si>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</si>
  <si>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</si>
  <si>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</si>
  <si>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</si>
  <si>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</si>
  <si>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</si>
  <si>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</si>
  <si>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</si>
  <si>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</si>
  <si>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</si>
  <si>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</si>
  <si>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</si>
  <si>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</si>
  <si>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</si>
  <si>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</si>
  <si>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</si>
  <si>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</si>
  <si>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</si>
  <si>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</si>
  <si>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</si>
  <si>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</si>
  <si>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</si>
  <si>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</si>
  <si>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</si>
  <si>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</si>
  <si>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</si>
  <si>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</si>
  <si>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</si>
  <si>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</si>
  <si>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</si>
  <si>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</si>
  <si>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</si>
  <si>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</si>
  <si>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</si>
  <si>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</si>
  <si>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</si>
  <si>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</si>
  <si>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</si>
  <si>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</si>
  <si>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</si>
  <si>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</si>
  <si>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</si>
  <si>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</si>
  <si>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</si>
  <si>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</si>
  <si>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</si>
  <si>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</si>
  <si>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</si>
  <si>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</si>
  <si>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</si>
  <si>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</si>
  <si>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</si>
  <si>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</si>
  <si>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</si>
  <si>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</si>
  <si>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</si>
  <si>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</si>
  <si>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</si>
  <si>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</si>
  <si>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</si>
  <si>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</si>
  <si>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</si>
  <si>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</si>
  <si>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</si>
  <si>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</si>
  <si>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</si>
  <si>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</si>
  <si>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</si>
  <si>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</si>
  <si>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</si>
  <si>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</si>
  <si>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</si>
  <si>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</si>
  <si>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</si>
  <si>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</si>
  <si>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</si>
  <si>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</si>
  <si>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</si>
  <si>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</si>
  <si>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</si>
  <si>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</si>
  <si>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</si>
  <si>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</si>
  <si>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</si>
  <si>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</si>
  <si>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</si>
  <si>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</si>
  <si>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</si>
  <si>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</si>
  <si>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</si>
  <si>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</si>
  <si>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</si>
  <si>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</si>
  <si>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</si>
  <si>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</si>
  <si>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</si>
  <si>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</si>
  <si>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</si>
  <si>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</si>
  <si>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</si>
  <si>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</si>
  <si>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</si>
  <si>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</si>
  <si>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</si>
  <si>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</si>
  <si>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</si>
  <si>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</si>
  <si>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</si>
  <si>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</si>
  <si>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</si>
  <si>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</si>
  <si>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</si>
  <si>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</si>
  <si>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</si>
  <si>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</si>
  <si>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</si>
  <si>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</si>
  <si>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</si>
  <si>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</si>
  <si>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</si>
  <si>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</si>
  <si>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</si>
  <si>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</si>
  <si>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</si>
  <si>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</si>
  <si>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</si>
  <si>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</si>
  <si>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</si>
  <si>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</si>
  <si>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</si>
  <si>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</si>
  <si>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</si>
  <si>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</si>
  <si>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</si>
  <si>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</si>
  <si>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</si>
  <si>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</si>
  <si>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</si>
  <si>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</si>
  <si>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</si>
  <si>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</si>
  <si>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</si>
  <si>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</si>
  <si>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</si>
  <si>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</si>
  <si>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</si>
  <si>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</si>
  <si>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</si>
  <si>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</si>
  <si>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</si>
  <si>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</si>
  <si>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</si>
  <si>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</si>
  <si>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</si>
  <si>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</si>
  <si>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</si>
  <si>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</si>
  <si>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</si>
  <si>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</si>
  <si>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</si>
  <si>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</si>
  <si>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</si>
  <si>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</si>
  <si>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</si>
  <si>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</si>
  <si>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</si>
  <si>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</si>
  <si>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</si>
  <si>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</si>
  <si>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</si>
  <si>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</si>
  <si>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</si>
  <si>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</si>
  <si>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</si>
  <si>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</si>
  <si>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</si>
  <si>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</si>
  <si>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</si>
  <si>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</si>
  <si>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</si>
  <si>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</si>
  <si>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</si>
  <si>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</si>
  <si>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</si>
  <si>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</si>
  <si>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</si>
  <si>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</si>
  <si>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</si>
  <si>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</si>
  <si>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</si>
  <si>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</si>
  <si>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</si>
  <si>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</si>
  <si>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</si>
  <si>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</si>
  <si>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</si>
  <si>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</si>
  <si>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</si>
  <si>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</si>
  <si>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</si>
  <si>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</si>
  <si>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</si>
  <si>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</si>
  <si>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</si>
  <si>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</si>
  <si>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</si>
  <si>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</si>
  <si>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</si>
  <si>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</si>
  <si>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</si>
  <si>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</si>
  <si>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</si>
  <si>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</si>
  <si>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</si>
  <si>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</si>
  <si>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</si>
  <si>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</si>
  <si>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</si>
  <si>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</si>
  <si>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</si>
  <si>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</si>
  <si>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</si>
  <si>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</si>
  <si>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</si>
  <si>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</si>
  <si>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</si>
  <si>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</si>
  <si>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</si>
  <si>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</si>
  <si>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</si>
  <si>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</si>
  <si>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</si>
  <si>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</si>
  <si>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</si>
  <si>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</si>
  <si>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</si>
  <si>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</si>
  <si>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</si>
  <si>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</si>
  <si>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</si>
  <si>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</si>
  <si>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</si>
  <si>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</si>
  <si>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</si>
  <si>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</si>
  <si>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</si>
  <si>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</si>
  <si>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</si>
  <si>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</si>
  <si>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</si>
  <si>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</si>
  <si>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</si>
  <si>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</si>
  <si>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</si>
  <si>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</si>
  <si>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</si>
  <si>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</si>
  <si>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</si>
  <si>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</si>
  <si>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</si>
  <si>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</si>
  <si>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</si>
  <si>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</si>
  <si>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</si>
  <si>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</si>
  <si>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</si>
  <si>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</si>
  <si>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</si>
  <si>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</si>
  <si>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</si>
  <si>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</si>
  <si>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</si>
  <si>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</si>
  <si>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</si>
  <si>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</si>
  <si>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</si>
  <si>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</si>
  <si>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</si>
  <si>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</si>
  <si>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</si>
  <si>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</si>
  <si>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</si>
  <si>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</si>
  <si>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</si>
  <si>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</si>
  <si>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</si>
  <si>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</si>
  <si>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</si>
  <si>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</si>
  <si>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</si>
  <si>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</si>
  <si>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</si>
  <si>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</si>
  <si>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</si>
  <si>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</si>
  <si>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</si>
  <si>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</si>
  <si>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</si>
  <si>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</si>
  <si>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</si>
  <si>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</si>
  <si>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</si>
  <si>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</si>
  <si>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</si>
  <si>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</si>
  <si>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</si>
  <si>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</si>
  <si>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</si>
  <si>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</si>
  <si>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</si>
  <si>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</si>
  <si>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</si>
  <si>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</si>
  <si>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</si>
  <si>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</si>
  <si>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</si>
  <si>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</si>
  <si>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</si>
  <si>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</si>
  <si>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</si>
  <si>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</si>
  <si>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</si>
  <si>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</si>
  <si>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</si>
  <si>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</si>
  <si>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</si>
  <si>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</si>
  <si>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</si>
  <si>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</si>
  <si>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</si>
  <si>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</si>
  <si>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</si>
  <si>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</si>
  <si>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</si>
  <si>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</si>
  <si>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</si>
  <si>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</si>
  <si>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</si>
  <si>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</si>
  <si>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</si>
  <si>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</si>
  <si>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</si>
  <si>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</si>
  <si>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</si>
  <si>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</si>
  <si>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</si>
  <si>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</si>
  <si>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</si>
  <si>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</si>
  <si>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</si>
  <si>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</si>
  <si>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</si>
  <si>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</si>
  <si>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</si>
  <si>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</si>
  <si>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</si>
  <si>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</si>
  <si>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</si>
  <si>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</si>
  <si>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</si>
  <si>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</si>
  <si>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</si>
  <si>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</si>
  <si>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</si>
  <si>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</si>
  <si>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</si>
  <si>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</si>
  <si>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</si>
  <si>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</si>
  <si>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</si>
  <si>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</si>
  <si>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</si>
  <si>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</si>
  <si>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</si>
  <si>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Placetec AG</t>
  </si>
  <si>
    <t>Elektronikfertigung  Electronic Manufacturing Services (EMS)</t>
  </si>
  <si>
    <t>CHE-112.411.362</t>
  </si>
  <si>
    <t>Q-Leitung</t>
  </si>
  <si>
    <t>PlaceTec AG / Industriestrasse 17 / CH-4410 Liestal</t>
  </si>
  <si>
    <t>Rolf Weyermann</t>
  </si>
  <si>
    <t>rolf.weyermann@placetec.ch</t>
  </si>
  <si>
    <t>CEO</t>
  </si>
  <si>
    <t>++41 61 973 03 80</t>
  </si>
  <si>
    <t>https://www.placetec.ch/de/firma/downloads.html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</si>
</sst>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xf numFmtId="0" fontId="118" fillId="45" borderId="56" xfId="829"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lacetec.ch/de/firma/downloads.html" TargetMode="External"/><Relationship Id="rId2" Type="http://schemas.openxmlformats.org/officeDocument/2006/relationships/hyperlink" Target="mailto:rolf.weyermann@placetec.ch" TargetMode="External"/><Relationship Id="rId1" Type="http://schemas.openxmlformats.org/officeDocument/2006/relationships/hyperlink" Target="mailto:rolf.weyermann@placetec.ch"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9453125" defaultRowHeight="12.35"/>
  <cols>
    <col min="1" max="1" width="143" style="157" customWidth="1"/>
    <col min="2" max="2" width="34.89453125" style="157" customWidth="1"/>
    <col min="3" max="3" width="8.89453125" style="157" customWidth="1"/>
    <col min="4" max="16384" width="8.89453125" style="157"/>
  </cols>
  <sheetData>
    <row r="1" spans="1:2" ht="104.2" customHeight="1">
      <c r="A1" s="172" t="str">
        <f ca="1">OFFSET(L!$C$1,MATCH("Instructions"&amp;ADDRESS(ROW(),COLUMN(),4),L!$A:$A,0)-1,SL,,)</f>
        <v>RMI:www.responsiblemineralsinitiative.org/</v>
      </c>
      <c r="B1" s="180"/>
    </row>
    <row r="2" spans="1:2" ht="15.35">
      <c r="A2" s="95" t="str">
        <f ca="1">OFFSET(L!$C$1,MATCH("Instructions"&amp;ADDRESS(ROW(),COLUMN(),4),L!$A:$A,0)-1,SL,,)</f>
        <v>Einführung</v>
      </c>
      <c r="B2" s="180"/>
    </row>
    <row r="3" spans="1:2" ht="168.7" customHeight="1">
      <c r="A3" s="94"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80"/>
    </row>
    <row r="4" spans="1:2" ht="16.5" customHeight="1">
      <c r="A4" s="220"/>
      <c r="B4" s="180"/>
    </row>
    <row r="5" spans="1:2" ht="42" customHeight="1">
      <c r="A5" s="221" t="str">
        <f ca="1">OFFSET(L!$C$1,MATCH("Instructions"&amp;ADDRESS(ROW(),COLUMN(),4),L!$A:$A,0)-1,SL,,)</f>
        <v>Anleitung zum Ausfüllen von Informationen zu Unternehmen (Zeilen 8 - 22).  Die Kommentare nur in englischer Sprache.</v>
      </c>
      <c r="B5" s="180"/>
    </row>
    <row r="6" spans="1:2" ht="35.200000000000003" customHeight="1">
      <c r="A6" s="95" t="str">
        <f ca="1">OFFSET(L!$C$1,MATCH("Instructions"&amp;ADDRESS(ROW(),COLUMN(),4),L!$A:$A,0)-1,SL,,)</f>
        <v>Hinweis: Eingaben mit (*) sind Pflichtfelder</v>
      </c>
      <c r="B6" s="180"/>
    </row>
    <row r="7" spans="1:2" ht="48" customHeight="1">
      <c r="A7" s="199" t="str">
        <f ca="1">OFFSET(L!$C$1,MATCH("Instructions"&amp;ADDRESS(ROW(),COLUMN(),4),L!$A:$A,0)-1,SL,,)</f>
        <v>1. Geben Sie hier den rechtmäßigen Firmennamen Ihres Unternehmens ein. Bitte verwenden Sie keine Abkürzungen. In diesem Feld haben Sie die Möglichkeit, weitere Geschäftsnamen, DBAs usw. hinzuzufügen.</v>
      </c>
      <c r="B7" s="180"/>
    </row>
    <row r="8" spans="1:2" ht="315" customHeight="1">
      <c r="A8" s="199"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8" s="180"/>
    </row>
    <row r="9" spans="1:2" ht="36" customHeight="1">
      <c r="A9" s="94" t="str">
        <f ca="1">OFFSET(L!$C$1,MATCH("Instructions"&amp;ADDRESS(ROW(),COLUMN(),4),L!$A:$A,0)-1,SL,,)</f>
        <v>3.Geben sie ihre eindeutige Firmenidentifikationsnummer (DUNS Nummer, Steuernummer, Kunden-spezifische Kennung, etc.) ein</v>
      </c>
      <c r="B9" s="180"/>
    </row>
    <row r="10" spans="1:2" ht="20.2" customHeight="1">
      <c r="A10" s="94" t="str">
        <f ca="1">OFFSET(L!$C$1,MATCH("Instructions"&amp;ADDRESS(ROW(),COLUMN(),4),L!$A:$A,0)-1,SL,,)</f>
        <v>4. Geben Sie die Quelle für die eindeutige Kennung oder Code ( "DUNS",  "MWST","Kunde", etc. ) an.</v>
      </c>
      <c r="B10" s="180"/>
    </row>
    <row r="11" spans="1:2" ht="20.2" customHeight="1">
      <c r="A11" s="94" t="str">
        <f ca="1">OFFSET(L!$C$1,MATCH("Instructions"&amp;ADDRESS(ROW(),COLUMN(),4),L!$A:$A,0)-1,SL,,)</f>
        <v>5. Geben Sie Ihre vollständige Firmenanschrift an (Straße, Stadt, Postleitzahl,  Bundesland).  Dieses Feld ist optional.</v>
      </c>
      <c r="B11" s="180"/>
    </row>
    <row r="12" spans="1:2" ht="35.200000000000003" customHeight="1">
      <c r="A12" s="94" t="str">
        <f ca="1">OFFSET(L!$C$1,MATCH("Instructions"&amp;ADDRESS(ROW(),COLUMN(),4),L!$A:$A,0)-1,SL,,)</f>
        <v>6. Geben Sie den Namen der Kontaktperson zum Inhalt der Erklärung an. Dies ist ein obligatorisches Feld.</v>
      </c>
      <c r="B12" s="180"/>
    </row>
    <row r="13" spans="1:2" ht="33" customHeight="1">
      <c r="A13" s="94"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3" s="180"/>
    </row>
    <row r="14" spans="1:2" ht="20.2" customHeight="1">
      <c r="A14" s="94" t="str">
        <f ca="1">OFFSET(L!$C$1,MATCH("Instructions"&amp;ADDRESS(ROW(),COLUMN(),4),L!$A:$A,0)-1,SL,,)</f>
        <v>8. Geben Sie die Telefonnummer des Kontakts an. Dies ist ein obligatorisches Feld.</v>
      </c>
      <c r="B14" s="180"/>
    </row>
    <row r="15" spans="1:2" ht="49.5" customHeight="1">
      <c r="A15" s="94"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5" s="180"/>
    </row>
    <row r="16" spans="1:2" ht="32.25" customHeight="1">
      <c r="A16" s="94" t="str">
        <f ca="1">OFFSET(L!$C$1,MATCH("Instructions"&amp;ADDRESS(ROW(),COLUMN(),4),L!$A:$A,0)-1,SL,,)</f>
        <v>10. Geben Sie den Titel für den Namen des Bevollmächtigten an. Dieses Feld ist optional.</v>
      </c>
      <c r="B16" s="180"/>
    </row>
    <row r="17" spans="1:2" ht="30.7">
      <c r="A17" s="94"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7" s="180"/>
    </row>
    <row r="18" spans="1:2" ht="31.5" customHeight="1">
      <c r="A18" s="94" t="str">
        <f ca="1">OFFSET(L!$C$1,MATCH("Instructions"&amp;ADDRESS(ROW(),COLUMN(),4),L!$A:$A,0)-1,SL,,)</f>
        <v>12. Fügen Sie die Telefonnummer der freigabeberechtigten Person ein. Das Ausfüllen dieses Feldes ist freiwillig.</v>
      </c>
      <c r="B18" s="180"/>
    </row>
    <row r="19" spans="1:2" ht="35.450000000000003" customHeight="1">
      <c r="A19" s="94" t="str">
        <f ca="1">OFFSET(L!$C$1,MATCH("Instructions"&amp;ADDRESS(ROW(),COLUMN(),4),L!$A:$A,0)-1,SL,,)</f>
        <v>13. Bitte geben Sie das Datum der Fertigstellung für dieses Formblatt mit dem Format TT-MMM-JJJJ ein. Dies ist ein obligatorisches Feld.</v>
      </c>
      <c r="B19" s="180"/>
    </row>
    <row r="20" spans="1:2" ht="40.5" customHeight="1">
      <c r="A20" s="94" t="str">
        <f ca="1">OFFSET(L!$C$1,MATCH("Instructions"&amp;ADDRESS(ROW(),COLUMN(),4),L!$A:$A,0)-1,SL,,)</f>
        <v>14. Zum Beispiel kann der Benutzer die Datei unter dem Namen speichern: companyname-datum.xls (Datum im Format JJJJ-MM-TT).</v>
      </c>
      <c r="B20" s="180"/>
    </row>
    <row r="21" spans="1:2" ht="17.45" customHeight="1">
      <c r="A21" s="220"/>
      <c r="B21" s="180"/>
    </row>
    <row r="22" spans="1:2" ht="42.75" customHeight="1">
      <c r="A22" s="95" t="str">
        <f ca="1">OFFSET(L!$C$1,MATCH("Instructions"&amp;ADDRESS(ROW(),COLUMN(),4),L!$A:$A,0)-1,SL,,)</f>
        <v>Anweisungen zum Ausfüllen der sieben Fragen zum Erklärungsumfang (Zeilen 24–63).
Bitte geben Sie Ihre Antworten nur auf ENGLISCH.</v>
      </c>
      <c r="B22" s="180"/>
    </row>
    <row r="23" spans="1:2" ht="57.75" customHeight="1">
      <c r="A23" s="95" t="str">
        <f ca="1">OFFSET(L!$C$1,MATCH("Instructions"&amp;ADDRESS(ROW(),COLUMN(),4),L!$A:$A,0)-1,SL,,)</f>
        <v>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v>
      </c>
      <c r="B23" s="180"/>
    </row>
    <row r="24" spans="1:2" ht="30.7" customHeight="1">
      <c r="A24" s="95" t="str">
        <f ca="1">OFFSET(L!$C$1,MATCH("Instructions"&amp;ADDRESS(ROW(),COLUMN(),4),L!$A:$A,0)-1,SL,,)</f>
        <v>Geben Sie Kommentare in den Kommentarabschnitten ein, um Ihre Antworten zu klären.</v>
      </c>
      <c r="B24" s="180"/>
    </row>
    <row r="25" spans="1:2" ht="46.5" customHeight="1">
      <c r="A25" s="95" t="str">
        <f ca="1">OFFSET(L!$C$1,MATCH("Instructions"&amp;ADDRESS(ROW(),COLUMN(),4),L!$A:$A,0)-1,SL,,)</f>
        <v>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v>
      </c>
      <c r="B25" s="180"/>
    </row>
    <row r="26" spans="1:2" ht="144.75" customHeight="1">
      <c r="A26" s="94" t="str">
        <f ca="1">OFFSET(L!$C$1,MATCH("Instructions"&amp;ADDRESS(ROW(),COLUMN(),4),L!$A:$A,0)-1,SL,,)</f>
        <v>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v>
      </c>
      <c r="B26" s="180"/>
    </row>
    <row r="27" spans="1:2" ht="36" customHeight="1">
      <c r="A27" s="94" t="str">
        <f ca="1">OFFSET(L!$C$1,MATCH("Instructions"&amp;ADDRESS(ROW(),COLUMN(),4),L!$A:$A,0)-1,SL,,)</f>
        <v>Manche Unternehmen verlangen möglicherweise Belege, wenn Sie diese Frage mit „nein” beantworten. Diese Belege sind im Feld „Anmerkungen” einzugeben.</v>
      </c>
      <c r="B27" s="180"/>
    </row>
    <row r="28" spans="1:2" ht="199.35">
      <c r="A28" s="94" t="str">
        <f ca="1">OFFSET(L!$C$1,MATCH("Instructions"&amp;ADDRESS(ROW(),COLUMN(),4),L!$A:$A,0)-1,SL,,)</f>
        <v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v>
      </c>
      <c r="B28" s="180"/>
    </row>
    <row r="29" spans="1:2" ht="122.7">
      <c r="A29" s="94" t="str">
        <f ca="1">OFFSET(L!$C$1,MATCH("Instructions"&amp;ADDRESS(ROW(),COLUMN(),4),L!$A:$A,0)-1,SL,,)</f>
        <v>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v>
      </c>
      <c r="B29" s="180"/>
    </row>
    <row r="30" spans="1:2" ht="153.35">
      <c r="A30" s="94" t="str">
        <f ca="1">OFFSET(L!$C$1,MATCH("Instructions"&amp;ADDRESS(ROW(),COLUMN(),4),L!$A:$A,0)-1,SL,,)</f>
        <v>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v>
      </c>
      <c r="B30" s="180"/>
    </row>
    <row r="31" spans="1:2" ht="184">
      <c r="A31" s="94" t="str">
        <f ca="1">OFFSET(L!$C$1,MATCH("Instructions"&amp;ADDRESS(ROW(),COLUMN(),4),L!$A:$A,0)-1,SL,,)</f>
        <v>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v>
      </c>
      <c r="B31" s="180"/>
    </row>
    <row r="32" spans="1:2" ht="90.75" customHeight="1">
      <c r="A32" s="94" t="str">
        <f ca="1">OFFSET(L!$C$1,MATCH("Instructions"&amp;ADDRESS(ROW(),COLUMN(),4),L!$A:$A,0)-1,SL,,)</f>
        <v>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v>
      </c>
      <c r="B32" s="180"/>
    </row>
    <row r="33" spans="1:2" ht="57.75" customHeight="1">
      <c r="A33" s="94"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v>
      </c>
      <c r="B33" s="180"/>
    </row>
    <row r="34" spans="1:2" ht="15.35">
      <c r="A34" s="231"/>
      <c r="B34" s="180"/>
    </row>
    <row r="35" spans="1:2" ht="68.45" customHeight="1">
      <c r="A35" s="221" t="str">
        <f ca="1">OFFSET(L!$C$1,MATCH("Instructions"&amp;ADDRESS(ROW(),COLUMN(),4),L!$A:$A,0)-1,SL,,)</f>
        <v>Instruktionen zur Beantwortung der Fragen A. – G. (Reihen 69–83). Die Fragen A bis G sind obligatorisch, wenn die Antwort auf Frage 1 und 2 „Ja“ für Cobalt oder natürlichen Glimmer lautet.
Bitte geben Sie Ihre Antworten nur auf ENGLISCH</v>
      </c>
      <c r="B35" s="180"/>
    </row>
    <row r="36" spans="1:2" ht="122.7">
      <c r="A36" s="221"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v>
      </c>
      <c r="B36" s="180"/>
    </row>
    <row r="37" spans="1:2" ht="55.5" customHeight="1">
      <c r="A37" s="94" t="str">
        <f ca="1">OFFSET(L!$C$1,MATCH("Instructions"&amp;ADDRESS(ROW(),COLUMN(),4),L!$A:$A,0)-1,SL,,)</f>
        <v>A. Diese Erklärung dient der Bestimmung, ob ein Unternehmen über eine Richtlinie zur verantwortungsvollen Beschaffung von Mineralien verfügt. Die Antwort auf diese Frage muss „Ja“ oder „Nein“ lauten.</v>
      </c>
      <c r="B37" s="180"/>
    </row>
    <row r="38" spans="1:2" ht="60" customHeight="1">
      <c r="A38" s="94"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v>
      </c>
      <c r="B38" s="180"/>
    </row>
    <row r="39" spans="1:2" ht="86.45" customHeight="1">
      <c r="A39" s="94" t="str">
        <f ca="1">OFFSET(L!$C$1,MATCH("Instructions"&amp;ADDRESS(ROW(),COLUMN(),4),L!$A:$A,0)-1,SL,,)</f>
        <v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v>
      </c>
      <c r="B39" s="180"/>
    </row>
    <row r="40" spans="1:2" ht="92">
      <c r="A40" s="94"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0" s="180"/>
    </row>
    <row r="41" spans="1:2" ht="153.35">
      <c r="A41" s="94"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1" s="180"/>
    </row>
    <row r="42" spans="1:2" ht="143.25" customHeight="1">
      <c r="A42" s="94"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2" s="180"/>
    </row>
    <row r="43" spans="1:2" ht="64.5" customHeight="1">
      <c r="A43" s="94"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3" s="180"/>
    </row>
    <row r="44" spans="1:2" ht="15.95" customHeight="1">
      <c r="A44" s="220"/>
      <c r="B44" s="180"/>
    </row>
    <row r="45" spans="1:2" ht="61.35">
      <c r="A45" s="95" t="str">
        <f ca="1">OFFSET(L!$C$1,MATCH("Instructions"&amp;ADDRESS(ROW(),COLUMN(),4),L!$A:$A,0)-1,SL,,)</f>
        <v>Hinweis: Spalten mit (*) sind Pflichtfelder</v>
      </c>
      <c r="B45" s="180"/>
    </row>
    <row r="46" spans="1:2" ht="63.7" customHeight="1">
      <c r="A46" s="9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80"/>
    </row>
    <row r="49" spans="1:2" ht="54.95" customHeight="1">
      <c r="A49" s="94" t="str">
        <f ca="1">OFFSET(L!$C$1,MATCH("Instructions"&amp;ADDRESS(ROW(),COLUMN(),4),L!$A:$A,0)-1,SL,,)</f>
        <v>2.  Metall ( * ) - Verwenden Sie das Pull-down-Menü, um das Metall auszuwählen,  für welches Sie Informationen über die Schmelzhütte eingeben. Dies ist ein Pflichteingabefeld.</v>
      </c>
      <c r="B49" s="180"/>
    </row>
    <row r="50" spans="1:2" ht="61.35">
      <c r="A50" s="94"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80"/>
    </row>
    <row r="51" spans="1:2" ht="45.75" customHeight="1">
      <c r="A51" s="94"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80"/>
    </row>
    <row r="52" spans="1:2" ht="54" customHeight="1">
      <c r="A52" s="94"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80"/>
    </row>
    <row r="53" spans="1:2" ht="46">
      <c r="A53" s="94"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80"/>
    </row>
    <row r="54" spans="1:2" ht="35.450000000000003" customHeight="1">
      <c r="A54" s="94"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80"/>
    </row>
    <row r="55" spans="1:2" ht="21.75" customHeight="1">
      <c r="A55" s="94" t="str">
        <f ca="1">OFFSET(L!$C$1,MATCH("Instructions"&amp;ADDRESS(ROW(),COLUMN(),4),L!$A:$A,0)-1,SL,,)</f>
        <v>8. Straße der Schmelzhütte – Geben Sie den Straßennamen des Schmelzhüttenstandortes an. Das Ausfüllen dieses Feldes ist freiwillig.</v>
      </c>
      <c r="B55" s="180"/>
    </row>
    <row r="56" spans="1:2" ht="15.35">
      <c r="A56" s="94" t="str">
        <f ca="1">OFFSET(L!$C$1,MATCH("Instructions"&amp;ADDRESS(ROW(),COLUMN(),4),L!$A:$A,0)-1,SL,,)</f>
        <v>9. Ort der Schmelzhütte – Geben Sie den Namen des Ortes an, in dem sich die Schmelzhütte befindet. Das Ausfüllen dieses Feldes ist freiwillig.</v>
      </c>
      <c r="B56" s="180"/>
    </row>
    <row r="57" spans="1:2" ht="30.7">
      <c r="A57" s="94" t="str">
        <f ca="1">OFFSET(L!$C$1,MATCH("Instructions"&amp;ADDRESS(ROW(),COLUMN(),4),L!$A:$A,0)-1,SL,,)</f>
        <v>10. Standort der Schmelzhütte: Ggf. Bundesland/Region/Provinz – Geben Sie das Bundesland oder die Region/Provinz des Schmelzhüttenstandortes an. Das Ausfüllen dieses Feldes ist freiwillig.</v>
      </c>
      <c r="B57" s="180"/>
    </row>
    <row r="58" spans="1:2" ht="182.45" customHeight="1">
      <c r="A58" s="94"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80"/>
    </row>
    <row r="59" spans="1:2" ht="76.5" customHeight="1">
      <c r="A59" s="94"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80"/>
    </row>
    <row r="60" spans="1:2" ht="46">
      <c r="A60" s="94"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80"/>
    </row>
    <row r="61" spans="1:2" ht="101.2" customHeight="1">
      <c r="A61" s="94"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80"/>
    </row>
    <row r="62" spans="1:2" ht="101.2" customHeight="1">
      <c r="A62" s="94"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80"/>
    </row>
    <row r="63" spans="1:2" ht="54" customHeight="1">
      <c r="A63" s="94" t="str">
        <f ca="1">OFFSET(L!$C$1,MATCH("Instructions"&amp;ADDRESS(ROW(),COLUMN(),4),L!$A:$A,0)-1,SL,,)</f>
        <v xml:space="preserve">16. Anmerkungen - geben Sie Ihre Anmerkungen zu den Schmelzhütten in das Textfeld ein. Beispiel: Smelter is being acquired by Company YYY </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Allgemeine Geschäftsbedingungen (AGB)</v>
      </c>
      <c r="B67" s="180"/>
    </row>
    <row r="68" spans="1:2" ht="107.35">
      <c r="A68" s="95"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68" s="180"/>
    </row>
    <row r="69" spans="1:2" ht="84.75" customHeight="1">
      <c r="A69" s="9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69" s="180"/>
    </row>
    <row r="70" spans="1:2" ht="83.45" customHeight="1">
      <c r="A70" s="95"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80"/>
    </row>
    <row r="71" spans="1:2" ht="122.7">
      <c r="A71" s="9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80"/>
    </row>
    <row r="72" spans="1:2" ht="82.5" customHeight="1">
      <c r="A72" s="9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80"/>
    </row>
    <row r="73" spans="1:2" ht="34.5" customHeight="1">
      <c r="A73" s="94" t="str">
        <f ca="1">OFFSET(L!$C$1,MATCH("General"&amp;"Cpy",L!$A:$A,0)-1,SL,,)</f>
        <v>© 2024 Responsible Minerals Initiative. All rights reserved.</v>
      </c>
      <c r="B73" s="179"/>
    </row>
    <row r="74" spans="1:2" ht="15.35">
      <c r="A74" s="183" t="s">
        <v>0</v>
      </c>
      <c r="B74" s="179"/>
    </row>
    <row r="75" spans="1:2" ht="15.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8359375" defaultRowHeight="12.35"/>
  <cols>
    <col min="1" max="1" width="20.47265625" style="58" customWidth="1"/>
    <col min="2" max="2" width="57.05078125" style="58" customWidth="1"/>
    <col min="3" max="16384" width="8.683593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984375" defaultRowHeight="12.35"/>
  <cols>
    <col min="2" max="2" width="27.3671875" customWidth="1"/>
    <col min="3" max="3" width="1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736A45F-CF9D-4A17-882B-497D5073A8E0}"/>
    </customSheetView>
    <customSheetView guid="{4BDF1A28-30D5-449D-B20E-D6C97EF9FAE1}" showAutoFilter="1">
      <selection activeCell="C1" sqref="C1:D65536"/>
      <pageMargins left="0" right="0" top="0" bottom="0" header="0" footer="0"/>
      <pageSetup orientation="portrait"/>
      <autoFilter ref="B1:C1" xr:uid="{642298C2-BC8D-4731-93E5-5DA9B2875E1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35"/>
  <cols>
    <col min="1" max="1" width="0.89453125" customWidth="1"/>
    <col min="2" max="2" width="10.05078125" customWidth="1"/>
    <col min="3" max="3" width="11.47265625" customWidth="1"/>
    <col min="4" max="4" width="17.05078125" style="149" customWidth="1"/>
    <col min="5" max="5" width="42.20703125" customWidth="1"/>
    <col min="6" max="6" width="53.20703125" customWidth="1"/>
    <col min="7" max="7" width="0.89453125" customWidth="1"/>
  </cols>
  <sheetData>
    <row r="1" spans="1:7" ht="12.7"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3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5">
      <c r="A13" s="316"/>
      <c r="B13" s="308">
        <v>1</v>
      </c>
      <c r="C13" s="227" t="s">
        <v>12</v>
      </c>
      <c r="D13" s="228">
        <v>44489</v>
      </c>
      <c r="E13" s="227" t="s">
        <v>12669</v>
      </c>
      <c r="F13" s="229" t="s">
        <v>12701</v>
      </c>
      <c r="G13" s="25"/>
    </row>
    <row r="14" spans="1:7" ht="55">
      <c r="A14" s="316"/>
      <c r="B14" s="226">
        <v>1.01</v>
      </c>
      <c r="C14" s="227" t="s">
        <v>12</v>
      </c>
      <c r="D14" s="228">
        <v>44523</v>
      </c>
      <c r="E14" s="227" t="s">
        <v>12670</v>
      </c>
      <c r="F14" s="229" t="s">
        <v>12701</v>
      </c>
      <c r="G14" s="25"/>
    </row>
    <row r="15" spans="1:7" ht="55">
      <c r="A15" s="316"/>
      <c r="B15" s="226">
        <v>1.02</v>
      </c>
      <c r="C15" s="227" t="s">
        <v>12</v>
      </c>
      <c r="D15" s="228">
        <v>44553</v>
      </c>
      <c r="E15" s="227" t="s">
        <v>12671</v>
      </c>
      <c r="F15" s="229" t="s">
        <v>12701</v>
      </c>
      <c r="G15" s="25"/>
    </row>
    <row r="16" spans="1:7" ht="88">
      <c r="A16" s="316"/>
      <c r="B16" s="226">
        <v>1.1000000000000001</v>
      </c>
      <c r="C16" s="227" t="s">
        <v>12</v>
      </c>
      <c r="D16" s="228">
        <v>44848</v>
      </c>
      <c r="E16" s="227" t="s">
        <v>12695</v>
      </c>
      <c r="F16" s="229" t="s">
        <v>12702</v>
      </c>
      <c r="G16" s="25"/>
    </row>
    <row r="17" spans="1:7" ht="55">
      <c r="A17" s="316"/>
      <c r="B17" s="226">
        <v>1.1100000000000001</v>
      </c>
      <c r="C17" s="227" t="s">
        <v>12</v>
      </c>
      <c r="D17" s="228">
        <v>44869</v>
      </c>
      <c r="E17" s="227" t="s">
        <v>12696</v>
      </c>
      <c r="F17" s="229" t="s">
        <v>12702</v>
      </c>
      <c r="G17" s="25"/>
    </row>
    <row r="18" spans="1:7" ht="55">
      <c r="A18" s="316"/>
      <c r="B18" s="226">
        <v>1.2</v>
      </c>
      <c r="C18" s="227" t="s">
        <v>12</v>
      </c>
      <c r="D18" s="228">
        <v>45058</v>
      </c>
      <c r="E18" s="227" t="s">
        <v>12749</v>
      </c>
      <c r="F18" s="229" t="s">
        <v>12703</v>
      </c>
      <c r="G18" s="25"/>
    </row>
    <row r="19" spans="1:7" ht="55">
      <c r="A19" s="316"/>
      <c r="B19" s="226">
        <v>1.3</v>
      </c>
      <c r="C19" s="227" t="s">
        <v>12</v>
      </c>
      <c r="D19" s="228">
        <v>45408</v>
      </c>
      <c r="E19" s="309" t="s">
        <v>19199</v>
      </c>
      <c r="F19" s="229" t="s">
        <v>12750</v>
      </c>
      <c r="G19" s="25"/>
    </row>
    <row r="20" spans="1:7" ht="12.7" thickBot="1">
      <c r="A20" s="317"/>
      <c r="B20" s="318" t="str">
        <f ca="1">OFFSET(L!$C$1,MATCH("General"&amp;"Cpy",L!$A:$A,0)-1,SL,,)</f>
        <v>© 2024 Responsible Minerals Initiative. All rights reserved.</v>
      </c>
      <c r="C20" s="318"/>
      <c r="D20" s="318"/>
      <c r="E20" s="318"/>
      <c r="F20" s="318"/>
      <c r="G20" s="26"/>
    </row>
    <row r="21" spans="1:7" ht="12.7"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9453125" defaultRowHeight="12.35"/>
  <cols>
    <col min="1" max="1" width="1.68359375" style="157" customWidth="1"/>
    <col min="2" max="2" width="35.47265625" style="157" customWidth="1"/>
    <col min="3" max="3" width="105.47265625" style="157" customWidth="1"/>
    <col min="4" max="5" width="1.68359375" style="157" customWidth="1"/>
    <col min="6" max="6" width="52" style="157" customWidth="1"/>
    <col min="7" max="7" width="4.89453125" style="157" customWidth="1"/>
    <col min="8" max="16384" width="8.89453125" style="157"/>
  </cols>
  <sheetData>
    <row r="1" spans="1:8" ht="90.7" customHeight="1" thickTop="1">
      <c r="A1" s="322"/>
      <c r="B1" s="323"/>
      <c r="C1" s="323"/>
      <c r="D1" s="324"/>
    </row>
    <row r="2" spans="1:8" ht="15.35">
      <c r="A2" s="177"/>
      <c r="B2" s="178" t="str">
        <f ca="1">OFFSET(L!$C$1,MATCH("Definitions"&amp;ADDRESS(ROW(),COLUMN(),4),L!$A:$A,0)-1,SL,,)</f>
        <v>Posten</v>
      </c>
      <c r="C2" s="178" t="str">
        <f ca="1">OFFSET(L!$C$1,MATCH("Definitions"&amp;ADDRESS(ROW(),COLUMN(),4),L!$A:$A,0)-1,SL,,)</f>
        <v>Definition</v>
      </c>
      <c r="D2" s="326"/>
      <c r="E2" s="179"/>
    </row>
    <row r="3" spans="1:8" ht="46">
      <c r="A3" s="177"/>
      <c r="B3" s="178" t="str">
        <f ca="1">OFFSET(L!$C$1,MATCH("Definitions"&amp;ADDRESS(ROW(),COLUMN(),4),L!$A:$A,0)-1,SL,,)</f>
        <v>Bevollmächtigter</v>
      </c>
      <c r="C3" s="178"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26"/>
      <c r="E3" s="180"/>
    </row>
    <row r="4" spans="1:8" ht="61.35">
      <c r="A4" s="177"/>
      <c r="B4" s="178" t="str">
        <f ca="1">OFFSET(L!$C$1,MATCH("Definitions"&amp;ADDRESS(ROW(),COLUMN(),4),L!$A:$A,0)-1,SL,,)</f>
        <v>Cobalt (Co) Raffinerie (Schmelzhutte)</v>
      </c>
      <c r="C4" s="178" t="str">
        <f ca="1">OFFSET(L!$C$1,MATCH("Definitions"&amp;ADDRESS(ROW(),COLUMN(),4),L!$A:$A,0)-1,SL,,)</f>
        <v>Ein Unternehmen, das Cobaltkonzentrate, Zwischenprodukte oder recycelte Rohstoffe verarbeitet und ein Cobaltprodukt zur direkten Verwendung in einem nachgelagerten Herstellungsprozess herstellt.</v>
      </c>
      <c r="D4" s="326"/>
      <c r="E4" s="180" t="s">
        <v>13</v>
      </c>
    </row>
    <row r="5" spans="1:8" ht="122.7">
      <c r="A5" s="177"/>
      <c r="B5" s="178" t="str">
        <f ca="1">OFFSET(L!$C$1,MATCH("Definitions"&amp;ADDRESS(ROW(),COLUMN(),4),L!$A:$A,0)-1,SL,,)</f>
        <v>Konflikt- und Hochrisikogebiete (CAHRA)</v>
      </c>
      <c r="C5" s="178"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6"/>
      <c r="E5" s="180"/>
    </row>
    <row r="6" spans="1:8" ht="138">
      <c r="A6" s="177"/>
      <c r="B6" s="178" t="str">
        <f ca="1">OFFSET(L!$C$1,MATCH("Definitions"&amp;ADDRESS(ROW(),COLUMN(),4),L!$A:$A,0)-1,SL,,)</f>
        <v>Erklärung Anwendungsbereich oder Klasse</v>
      </c>
      <c r="C6" s="178"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6" s="326"/>
      <c r="E6" s="180" t="s">
        <v>14</v>
      </c>
    </row>
    <row r="7" spans="1:8" ht="92">
      <c r="A7" s="177"/>
      <c r="B7" s="178" t="str">
        <f ca="1">OFFSET(L!$C$1,MATCH("Definitions"&amp;ADDRESS(ROW(),COLUMN(),4),L!$A:$A,0)-1,SL,,)</f>
        <v>Sorgfaltspflicht</v>
      </c>
      <c r="C7" s="178"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7" s="326"/>
      <c r="E7" s="180" t="s">
        <v>15</v>
      </c>
    </row>
    <row r="8" spans="1:8" ht="76.7">
      <c r="A8" s="177"/>
      <c r="B8" s="178" t="str">
        <f ca="1">OFFSET(L!$C$1,MATCH("Definitions"&amp;ADDRESS(ROW(),COLUMN(),4),L!$A:$A,0)-1,SL,,)</f>
        <v>Unabhängige Private Wirtschaftsprüfungsgesellschaft</v>
      </c>
      <c r="C8" s="178"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8" s="326"/>
      <c r="E8" s="180" t="s">
        <v>16</v>
      </c>
    </row>
    <row r="9" spans="1:8" ht="46">
      <c r="A9" s="177"/>
      <c r="B9" s="178" t="str">
        <f ca="1">OFFSET(L!$C$1,MATCH("Definitions"&amp;ADDRESS(ROW(),COLUMN(),4),L!$A:$A,0)-1,SL,,)</f>
        <v>Absichtlich hinzugefügt</v>
      </c>
      <c r="C9" s="178"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v>
      </c>
      <c r="D9" s="326"/>
      <c r="E9" s="180" t="s">
        <v>15</v>
      </c>
      <c r="H9" s="157">
        <v>14</v>
      </c>
    </row>
    <row r="10" spans="1:8" ht="107.35">
      <c r="A10" s="177"/>
      <c r="B10" s="178" t="str">
        <f ca="1">OFFSET(L!$C$1,MATCH("Definitions"&amp;ADDRESS(ROW(),COLUMN(),4),L!$A:$A,0)-1,SL,,)</f>
        <v>OECD</v>
      </c>
      <c r="C10" s="178"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0" s="326"/>
      <c r="E10" s="180"/>
    </row>
    <row r="11" spans="1:8" ht="36.700000000000003" customHeight="1">
      <c r="A11" s="177"/>
      <c r="B11" s="178" t="str">
        <f ca="1">OFFSET(L!$C$1,MATCH("Definitions"&amp;ADDRESS(ROW(),COLUMN(),4),L!$A:$A,0)-1,SL,,)</f>
        <v>Natürlicher Glimmer</v>
      </c>
      <c r="C11" s="178" t="str">
        <f ca="1">OFFSET(L!$C$1,MATCH("Definitions"&amp;ADDRESS(ROW(),COLUMN(),4),L!$A:$A,0)-1,SL,,)</f>
        <v>Natürlicher Glimmer ist ein Mineral, das abgebaut wird oder natürlich vorkommt, wie Muskovite und Phlogopite.</v>
      </c>
      <c r="D11" s="326"/>
      <c r="E11" s="180" t="s">
        <v>15</v>
      </c>
    </row>
    <row r="12" spans="1:8" ht="37.5" customHeight="1">
      <c r="A12" s="177"/>
      <c r="B12" s="178" t="str">
        <f ca="1">OFFSET(L!$C$1,MATCH("Definitions"&amp;ADDRESS(ROW(),COLUMN(),4),L!$A:$A,0)-1,SL,,)</f>
        <v>Synthetischer Glimmer (Fluorophlogopite)</v>
      </c>
      <c r="C12" s="178" t="str">
        <f ca="1">OFFSET(L!$C$1,MATCH("Definitions"&amp;ADDRESS(ROW(),COLUMN(),4),L!$A:$A,0)-1,SL,,)</f>
        <v xml:space="preserve">Synthetischer Glimmer (Fluorophlogopite) ist ein von Menschen hergestelltes Material, das aus Materialien wie Magnesium, Aluminium und Silizium besteht. </v>
      </c>
      <c r="D12" s="326"/>
      <c r="E12" s="180"/>
    </row>
    <row r="13" spans="1:8" ht="76.7">
      <c r="A13" s="177"/>
      <c r="B13" s="178" t="str">
        <f ca="1">OFFSET(L!$C$1,MATCH("Definitions"&amp;ADDRESS(ROW(),COLUMN(),4),L!$A:$A,0)-1,SL,,)</f>
        <v>Prozessor</v>
      </c>
      <c r="C13" s="178"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3" s="326"/>
      <c r="E13" s="180"/>
    </row>
    <row r="14" spans="1:8" ht="30.7">
      <c r="A14" s="177"/>
      <c r="B14" s="178" t="str">
        <f ca="1">OFFSET(L!$C$1,MATCH("Definitions"&amp;ADDRESS(ROW(),COLUMN(),4),L!$A:$A,0)-1,SL,,)</f>
        <v>Produkt</v>
      </c>
      <c r="C14" s="178"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4" s="326"/>
      <c r="E14" s="180"/>
    </row>
    <row r="15" spans="1:8" ht="122.7">
      <c r="A15" s="177"/>
      <c r="B15" s="178" t="str">
        <f ca="1">OFFSET(L!$C$1,MATCH("Definitions"&amp;ADDRESS(ROW(),COLUMN(),4),L!$A:$A,0)-1,SL,,)</f>
        <v>Recycling oder Schrott Quellen</v>
      </c>
      <c r="C15" s="178"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15" s="326"/>
      <c r="E15" s="180"/>
    </row>
    <row r="16" spans="1:8" ht="46">
      <c r="A16" s="177"/>
      <c r="B16" s="178" t="str">
        <f ca="1">OFFSET(L!$C$1,MATCH("Definitions"&amp;ADDRESS(ROW(),COLUMN(),4),L!$A:$A,0)-1,SL,,)</f>
        <v>Responsible Business Alliance (RBA)</v>
      </c>
      <c r="C16" s="178" t="str">
        <f ca="1">OFFSET(L!$C$1,MATCH("Definitions"&amp;ADDRESS(ROW(),COLUMN(),4),L!$A:$A,0)-1,SL,,)</f>
        <v>Die Responsible Business Alliance wurde 2004 gegründet und ist die weltweit größte Branchenkoalition, die sich der Verantwortung in der Elektroniklieferkette widmet. (http://www.responsiblebusiness.org)</v>
      </c>
      <c r="D16" s="326"/>
      <c r="E16" s="180" t="s">
        <v>15</v>
      </c>
    </row>
    <row r="17" spans="1:5" ht="76.7">
      <c r="A17" s="177"/>
      <c r="B17" s="178" t="str">
        <f ca="1">OFFSET(L!$C$1,MATCH("Definitions"&amp;ADDRESS(ROW(),COLUMN(),4),L!$A:$A,0)-1,SL,,)</f>
        <v>Responsible Minerals Assurance Process (RMAP)</v>
      </c>
      <c r="C17" s="178"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17" s="326"/>
      <c r="E17" s="180" t="s">
        <v>16</v>
      </c>
    </row>
    <row r="18" spans="1:5" ht="153.35">
      <c r="A18" s="177"/>
      <c r="B18" s="178" t="str">
        <f ca="1">OFFSET(L!$C$1,MATCH("Definitions"&amp;ADDRESS(ROW(),COLUMN(),4),L!$A:$A,0)-1,SL,,)</f>
        <v>Responsible Minerals Initiative</v>
      </c>
      <c r="C18" s="178"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18" s="326"/>
      <c r="E18" s="180"/>
    </row>
    <row r="19" spans="1:5" ht="138">
      <c r="A19" s="177"/>
      <c r="B19" s="178" t="str">
        <f ca="1">OFFSET(L!$C$1,MATCH("Definitions"&amp;ADDRESS(ROW(),COLUMN(),4),L!$A:$A,0)-1,SL,,)</f>
        <v>RMAP Konforme Smelter Liste</v>
      </c>
      <c r="C19" s="178"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19" s="326"/>
      <c r="E19" s="180" t="s">
        <v>15</v>
      </c>
    </row>
    <row r="20" spans="1:5" ht="76.7">
      <c r="A20" s="177"/>
      <c r="B20" s="178" t="str">
        <f ca="1">OFFSET(L!$C$1,MATCH("Definitions"&amp;ADDRESS(ROW(),COLUMN(),4),L!$A:$A,0)-1,SL,,)</f>
        <v>Schmelzhütte</v>
      </c>
      <c r="C20" s="178"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0" s="326"/>
      <c r="E20" s="180" t="s">
        <v>13</v>
      </c>
    </row>
    <row r="21" spans="1:5" ht="61.35">
      <c r="A21" s="177"/>
      <c r="B21" s="178" t="str">
        <f ca="1">OFFSET(L!$C$1,MATCH("Definitions"&amp;ADDRESS(ROW(),COLUMN(),4),L!$A:$A,0)-1,SL,,)</f>
        <v>Schmelzhütte Id-Nummer</v>
      </c>
      <c r="C21" s="178"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1" s="326"/>
      <c r="E21" s="180"/>
    </row>
    <row r="22" spans="1:5" ht="15.35">
      <c r="A22" s="177"/>
      <c r="B22" s="325" t="str">
        <f ca="1">OFFSET(L!$C$1,MATCH("General"&amp;"Cpy",L!$A:$A,0)-1,SL,,)</f>
        <v>© 2024 Responsible Minerals Initiative. All rights reserved.</v>
      </c>
      <c r="C22" s="325"/>
      <c r="D22" s="326"/>
      <c r="E22" s="180"/>
    </row>
    <row r="23" spans="1:5" ht="12.7" thickBot="1">
      <c r="A23" s="181"/>
      <c r="B23" s="182"/>
      <c r="C23" s="182"/>
      <c r="D23" s="327"/>
    </row>
    <row r="24" spans="1:5" ht="12.7"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8" zoomScaleNormal="100" workbookViewId="0">
      <selection activeCell="G83" sqref="G83:J83"/>
    </sheetView>
  </sheetViews>
  <sheetFormatPr baseColWidth="10" defaultColWidth="8.89453125" defaultRowHeight="12.35"/>
  <cols>
    <col min="1" max="1" width="1.89453125" customWidth="1"/>
    <col min="2" max="2" width="84.20703125" customWidth="1"/>
    <col min="3" max="3" width="1.68359375" customWidth="1"/>
    <col min="4" max="5" width="16.68359375" customWidth="1"/>
    <col min="6" max="6" width="1.68359375" customWidth="1"/>
    <col min="7" max="9" width="16.68359375" customWidth="1"/>
    <col min="10" max="10" width="17.89453125" customWidth="1"/>
    <col min="11" max="11" width="3" customWidth="1"/>
    <col min="12" max="12" width="3.68359375" hidden="1" customWidth="1"/>
    <col min="13" max="15" width="4.89453125" hidden="1" customWidth="1"/>
    <col min="16" max="23" width="9.05078125" hidden="1" customWidth="1"/>
    <col min="24" max="24" width="27.68359375" hidden="1" customWidth="1"/>
    <col min="25" max="25" width="8.89453125" hidden="1" customWidth="1"/>
    <col min="26" max="32" width="8.89453125" customWidth="1"/>
  </cols>
  <sheetData>
    <row r="1" spans="1:34" ht="15.7"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Erweiterte Vorlage für Mineralienberichte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18961</v>
      </c>
      <c r="E3" s="387"/>
      <c r="F3" s="388"/>
      <c r="G3" s="388"/>
      <c r="H3" s="388"/>
      <c r="I3" s="388"/>
      <c r="J3" s="191" t="s">
        <v>12830</v>
      </c>
      <c r="K3" s="30"/>
      <c r="L3" s="103"/>
      <c r="P3" s="39">
        <f>MATCH($D$3,LN,0)</f>
        <v>6</v>
      </c>
    </row>
    <row r="4" spans="1:34" ht="15.35">
      <c r="A4" s="28"/>
      <c r="B4" s="375" t="str">
        <f ca="1">OFFSET(L!$C$1,MATCH("Declaration"&amp;ADDRESS(ROW(),COLUMN(),4),L!$A:$A,0)-1,SL,,)</f>
        <v>Der Zweck dieses Dokuments ist die Erfassung von Beschaffungsinformationen für Cobalt und natürlicher Glimmer, welche in Produkten genutzt werden.</v>
      </c>
      <c r="C4" s="375"/>
      <c r="D4" s="375"/>
      <c r="E4" s="375"/>
      <c r="F4" s="375"/>
      <c r="G4" s="375"/>
      <c r="H4" s="375"/>
      <c r="I4" s="379" t="str">
        <f ca="1">OFFSET(L!$C$1,MATCH("Declaration"&amp;ADDRESS(ROW(),COLUMN(),4),L!$A:$A,0)-1,SL,,)</f>
        <v>Link zu den Bedingungen</v>
      </c>
      <c r="J4" s="379"/>
      <c r="K4" s="30"/>
      <c r="L4" s="105"/>
      <c r="P4" s="3"/>
      <c r="Q4" s="3"/>
      <c r="R4" s="3"/>
      <c r="S4" s="3"/>
      <c r="T4" s="3"/>
      <c r="U4" s="3"/>
      <c r="V4" s="3"/>
      <c r="W4" s="3"/>
      <c r="X4" s="3"/>
      <c r="Y4" s="3"/>
      <c r="Z4" s="3"/>
      <c r="AA4" s="3"/>
      <c r="AB4" s="3"/>
      <c r="AC4" s="3"/>
      <c r="AD4" s="3"/>
      <c r="AE4" s="3"/>
      <c r="AF4" s="3"/>
      <c r="AG4" s="3"/>
      <c r="AH4" s="3"/>
    </row>
    <row r="5" spans="1:34" ht="15.3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7">
      <c r="A6" s="28"/>
      <c r="B6" s="375" t="str">
        <f ca="1">OFFSET(L!$C$1,MATCH("Declaration"&amp;ADDRESS(ROW(),COLUMN(),4),L!$A:$A,0)-1,SL,,)</f>
        <v>Pflichtfelder sind mit einem Sternchen (*) gekennzeichnet.  Im Tab „Instruktionen“ finden Sie eine Anleitung zur Beantwortung aller Fragen.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35">
      <c r="A7" s="28"/>
      <c r="B7" s="380" t="str">
        <f ca="1">OFFSET(L!$C$1,MATCH("Declaration"&amp;ADDRESS(ROW(),COLUMN(),4),L!$A:$A,0)-1,SL,,)</f>
        <v>Firmenangaben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35">
      <c r="A8" s="32"/>
      <c r="B8" s="66" t="str">
        <f ca="1">OFFSET(L!$C$1,MATCH("Declaration"&amp;ADDRESS(ROW(),COLUMN(),4),L!$A:$A,0)-1,SL,,)</f>
        <v>Firmenname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35">
      <c r="A9" s="32"/>
      <c r="B9" s="66" t="str">
        <f ca="1">OFFSET(L!$C$1,MATCH("Declaration"&amp;ADDRESS(ROW(),COLUMN(),4),L!$A:$A,0)-1,SL,,)</f>
        <v>Geltungsbereich der Erklärung (*):</v>
      </c>
      <c r="C9" s="67"/>
      <c r="D9" s="356" t="s">
        <v>21</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Beschreibung des Geltungsbereichs (*):</v>
      </c>
      <c r="C10" s="113"/>
      <c r="D10" s="376" t="s">
        <v>19203</v>
      </c>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3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35">
      <c r="A12" s="32"/>
      <c r="B12" s="34" t="str">
        <f ca="1">OFFSET(L!$C$1,MATCH("Declaration"&amp;ADDRESS(ROW(),COLUMN(),4),L!$A:$A,0)-1,SL,,)</f>
        <v>Eindeutige Unternehmenskennung:</v>
      </c>
      <c r="C12" s="68"/>
      <c r="D12" s="352" t="s">
        <v>19204</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35">
      <c r="A13" s="32"/>
      <c r="B13" s="34" t="str">
        <f ca="1">OFFSET(L!$C$1,MATCH("Declaration"&amp;ADDRESS(ROW(),COLUMN(),4),L!$A:$A,0)-1,SL,,)</f>
        <v>Zuständige Stelle im Unternehmen:</v>
      </c>
      <c r="C13" s="68"/>
      <c r="D13" s="352" t="s">
        <v>19205</v>
      </c>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35">
      <c r="A14" s="32"/>
      <c r="B14" s="34" t="str">
        <f ca="1">OFFSET(L!$C$1,MATCH("Declaration"&amp;ADDRESS(ROW(),COLUMN(),4),L!$A:$A,0)-1,SL,,)</f>
        <v>Adresse:</v>
      </c>
      <c r="C14" s="68"/>
      <c r="D14" s="352" t="s">
        <v>19206</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35">
      <c r="A15" s="32"/>
      <c r="B15" s="34" t="str">
        <f ca="1">OFFSET(L!$C$1,MATCH("Declaration"&amp;ADDRESS(ROW(),COLUMN(),4),L!$A:$A,0)-1,SL,,)</f>
        <v>Name des Ansprechpartners (*):</v>
      </c>
      <c r="C15" s="68"/>
      <c r="D15" s="352" t="s">
        <v>19207</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35">
      <c r="A16" s="32"/>
      <c r="B16" s="34" t="str">
        <f ca="1">OFFSET(L!$C$1,MATCH("Declaration"&amp;ADDRESS(ROW(),COLUMN(),4),L!$A:$A,0)-1,SL,,)</f>
        <v>E-Mail-Adresse des Ansprechpartners (*):</v>
      </c>
      <c r="C16" s="68"/>
      <c r="D16" s="405" t="s">
        <v>19208</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35">
      <c r="A17" s="32"/>
      <c r="B17" s="34" t="str">
        <f ca="1">OFFSET(L!$C$1,MATCH("Declaration"&amp;ADDRESS(ROW(),COLUMN(),4),L!$A:$A,0)-1,SL,,)</f>
        <v>Telefonnummer des Ansprechpartners (*):</v>
      </c>
      <c r="C17" s="68"/>
      <c r="D17" s="352" t="s">
        <v>19210</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
      <c r="A18" s="32"/>
      <c r="B18" s="34" t="str">
        <f ca="1">OFFSET(L!$C$1,MATCH("Declaration"&amp;ADDRESS(ROW(),COLUMN(),4),L!$A:$A,0)-1,SL,,)</f>
        <v>Bevollmächtigter (*):</v>
      </c>
      <c r="C18" s="68"/>
      <c r="D18" s="352" t="s">
        <v>19207</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
      <c r="A19" s="32"/>
      <c r="B19" s="34" t="str">
        <f ca="1">OFFSET(L!$C$1,MATCH("Declaration"&amp;ADDRESS(ROW(),COLUMN(),4),L!$A:$A,0)-1,SL,,)</f>
        <v>Titel des Bevollmächtigten:</v>
      </c>
      <c r="C19" s="68"/>
      <c r="D19" s="352" t="s">
        <v>19209</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
      <c r="A20" s="32"/>
      <c r="B20" s="34" t="str">
        <f ca="1">OFFSET(L!$C$1,MATCH("Declaration"&amp;ADDRESS(ROW(),COLUMN(),4),L!$A:$A,0)-1,SL,,)</f>
        <v>E-Mail-Adresse des Bevollmächtigten (*):</v>
      </c>
      <c r="C20" s="68"/>
      <c r="D20" s="405" t="s">
        <v>19208</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35">
      <c r="A21" s="32"/>
      <c r="B21" s="34" t="str">
        <f ca="1">OFFSET(L!$C$1,MATCH("Declaration"&amp;ADDRESS(ROW(),COLUMN(),4),L!$A:$A,0)-1,SL,,)</f>
        <v>Telefonnummer des Bevollmächtigten:</v>
      </c>
      <c r="C21" s="125"/>
      <c r="D21" s="352" t="s">
        <v>19210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7">
      <c r="A22" s="32"/>
      <c r="B22" s="34" t="str">
        <f ca="1">OFFSET(L!$C$1,MATCH("Declaration"&amp;ADDRESS(ROW(),COLUMN(),4),L!$A:$A,0)-1,SL,,)</f>
        <v>Datum (*):</v>
      </c>
      <c r="C22" s="69"/>
      <c r="D22" s="361">
        <v>45757</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7">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35">
      <c r="A24" s="36"/>
      <c r="B24" s="386" t="str">
        <f ca="1">OFFSET(L!$C$1,MATCH("Declaration"&amp;ADDRESS(ROW(),COLUMN(),4),L!$A:$A,0)-1,SL,,)</f>
        <v>Beantworten Sie die Fragen 1 - 7 entsprechend dem oben angegebenen Geltungsbereich</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6">
      <c r="A25" s="35"/>
      <c r="B25" s="38" t="str">
        <f ca="1">OFFSET(L!$C$1,MATCH("Declaration"&amp;ADDRESS(ROW(),COLUMN(),4),L!$A:$A,0)-1,SL,,)</f>
        <v>1) Wird absichtlich Cobalt oder natürlicher Glimmer im Herstellungsprozess verwendet oder in das bzw. die Produkte aufgenommen? (*)</v>
      </c>
      <c r="C25" s="14"/>
      <c r="D25" s="349" t="str">
        <f ca="1">OFFSET(L!$C$1,MATCH("Declaration"&amp;ADDRESS(ROW(),COLUMN(),4),L!$A:$A,0)-1,SL,,)</f>
        <v>Antwort</v>
      </c>
      <c r="E25" s="349"/>
      <c r="F25" s="15"/>
      <c r="G25" s="38" t="str">
        <f ca="1">OFFSET(L!$C$1,MATCH("Declaration"&amp;ADDRESS(ROW(),COLUMN(),4),L!$A:$A,0)-1,SL,,)</f>
        <v>Kommentare</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
      <c r="A27" s="35"/>
      <c r="B27" s="34" t="str">
        <f ca="1">OFFSET(L!$C$1,MATCH("Declaration"&amp;ADDRESS(ROW(),COLUMN(),4),L!$A:$A,0)-1,SL,,)&amp;P27</f>
        <v>Glimmer</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7">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6">
      <c r="A31" s="35"/>
      <c r="B31" s="38" t="str">
        <f ca="1">OFFSET(L!$C$1,MATCH("Declaration"&amp;ADDRESS(ROW(),COLUMN(),4),L!$A:$A,0)-1,SL,,)</f>
        <v>2) Verbleibt Cobalt oder natürlicher Glimmer in dem bzw. den Produkten? (*)</v>
      </c>
      <c r="C31" s="14"/>
      <c r="D31" s="351" t="str">
        <f ca="1">D25</f>
        <v>Antwort</v>
      </c>
      <c r="E31" s="351"/>
      <c r="F31" s="15"/>
      <c r="G31" s="38" t="str">
        <f ca="1">G25</f>
        <v>Kommentare</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
      <c r="A33" s="35"/>
      <c r="B33" s="34" t="str">
        <f ca="1">OFFSET(L!$C$1,MATCH("Declaration"&amp;ADDRESS(ROW(),COLUMN(),4),L!$A:$A,0)-1,SL,,)&amp;P33</f>
        <v>Glimmer</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7">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Bezieht einer der Verhüttungsbetrieb oder das Verarbeitungsunternehmen in Ihrer Lieferkette das Cobalt oder den natürlichen Glimmer aus Konflikt- und Hochrisikogebieten? (OECD Due Diligence Guidance, siehe Registerkarte Definitionen)</v>
      </c>
      <c r="C37" s="7"/>
      <c r="D37" s="351" t="str">
        <f ca="1">D25</f>
        <v>Antwort</v>
      </c>
      <c r="E37" s="351"/>
      <c r="F37" s="15"/>
      <c r="G37" s="38" t="str">
        <f ca="1">G25</f>
        <v>Kommentare</v>
      </c>
      <c r="H37" s="365"/>
      <c r="I37" s="365"/>
      <c r="J37" s="36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
      <c r="A39" s="35"/>
      <c r="B39" s="34" t="str">
        <f ca="1">OFFSET(L!$C$1,MATCH("Declaration"&amp;ADDRESS(ROW(),COLUMN(),4),L!$A:$A,0)-1,SL,,)&amp;P39</f>
        <v>Glimmer</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7">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 customHeight="1">
      <c r="A43" s="35"/>
      <c r="B43" s="38" t="str">
        <f ca="1">OFFSET(L!$C$1,MATCH("Declaration"&amp;ADDRESS(ROW(),COLUMN(),4),L!$A:$A,0)-1,SL,,)&amp;Q37</f>
        <v>4) Stammt 100 Prozent des Cobalts aus Recycling- oder Schrottquellen?</v>
      </c>
      <c r="C43" s="7"/>
      <c r="D43" s="351" t="str">
        <f ca="1">D25</f>
        <v>Antwort</v>
      </c>
      <c r="E43" s="351"/>
      <c r="F43" s="15"/>
      <c r="G43" s="38" t="str">
        <f ca="1">G25</f>
        <v>Kommentare</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7">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5" customHeight="1">
      <c r="A49" s="35"/>
      <c r="B49" s="123" t="str">
        <f ca="1">OFFSET(L!$C$1,MATCH("Declaration"&amp;ADDRESS(ROW(),COLUMN(),4),L!$A:$A,0)-1,SL,,)&amp;Q37</f>
        <v>5) Wie hoch ist der Prozentsatz an Lieferanten, die auf Ihre Lieferkettenumfrage geantwortet haben?</v>
      </c>
      <c r="C49" s="7"/>
      <c r="D49" s="351" t="str">
        <f ca="1">D25</f>
        <v>Antwort</v>
      </c>
      <c r="E49" s="351"/>
      <c r="F49" s="15"/>
      <c r="G49" s="38" t="str">
        <f ca="1">G25</f>
        <v>Kommentare</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
      <c r="A51" s="35"/>
      <c r="B51" s="34" t="str">
        <f ca="1">B39</f>
        <v>Glimmer</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3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7">
      <c r="A55" s="35"/>
      <c r="B55" s="123" t="str">
        <f ca="1">OFFSET(L!$C$1,MATCH("Declaration"&amp;ADDRESS(ROW(),COLUMN(),4),L!$A:$A,0)-1,SL,,)&amp;Q37</f>
        <v>6) Kennen Sie alle Verhüttungsbetriebe oder Verarbeitungsunternehmen, die das Cobalt oder den natürlichen Glimmer für Ihre Lieferkette bereitstellen?</v>
      </c>
      <c r="C55" s="7"/>
      <c r="D55" s="351" t="str">
        <f ca="1">D25</f>
        <v>Antwort</v>
      </c>
      <c r="E55" s="351"/>
      <c r="F55" s="15"/>
      <c r="G55" s="38" t="str">
        <f ca="1">G25</f>
        <v>Kommentare</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
      <c r="A57" s="35"/>
      <c r="B57" s="34" t="str">
        <f ca="1">B39</f>
        <v>Glimmer</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3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7">
      <c r="A61" s="35"/>
      <c r="B61" s="38" t="str">
        <f ca="1">OFFSET(L!$C$1,MATCH("Declaration"&amp;ADDRESS(ROW(),COLUMN(),4),L!$A:$A,0)-1,SL,,)&amp;Q37</f>
        <v>7) Sind alle anwendbaren Informationen über Verhüttungsbetriebe oder Verarbeitungsunternehmen, die Ihr Unternehmen erhalten hat, in dieser Erklärung genannt worden?</v>
      </c>
      <c r="C61" s="7"/>
      <c r="D61" s="351" t="str">
        <f ca="1">D25</f>
        <v>Antwort</v>
      </c>
      <c r="E61" s="351"/>
      <c r="F61" s="15"/>
      <c r="G61" s="38" t="str">
        <f ca="1">G25</f>
        <v>Kommentare</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
      <c r="A63" s="35"/>
      <c r="B63" s="34" t="str">
        <f ca="1">B39</f>
        <v>Glimmer</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3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35">
      <c r="A67" s="35"/>
      <c r="B67" s="339" t="str">
        <f ca="1">OFFSET(L!$C$1,MATCH("Declaration"&amp;ADDRESS(ROW(),COLUMN(),4),L!$A:$A,0)-1,SL,,)</f>
        <v>Beantworten Sie folgende Fragen auf Firmenebene</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35">
      <c r="A68" s="45"/>
      <c r="B68" s="46" t="str">
        <f ca="1">OFFSET(L!$C$1,MATCH("Declaration"&amp;ADDRESS(ROW(),COLUMN(),4),L!$A:$A,0)-1,SL,,)</f>
        <v>Frage</v>
      </c>
      <c r="C68" s="72"/>
      <c r="D68" s="349" t="str">
        <f ca="1">D25</f>
        <v>Antwort</v>
      </c>
      <c r="E68" s="349"/>
      <c r="F68" s="47"/>
      <c r="G68" s="349" t="str">
        <f ca="1">G25</f>
        <v>Kommentare</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 customHeight="1">
      <c r="A69" s="35"/>
      <c r="B69" s="50" t="str">
        <f ca="1">OFFSET(L!$C$1,MATCH("Declaration"&amp;ADDRESS(ROW(),COLUMN(),4),L!$A:$A,0)-1,SL,,)&amp;P38</f>
        <v>A. Haben Sie eine Richtlinie zur verantwortungsvollen Beschaffung von Mineralien aufgestellt?</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3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 customHeight="1">
      <c r="A71" s="35"/>
      <c r="B71" s="50" t="str">
        <f ca="1">OFFSET(L!$C$1,MATCH("Declaration"&amp;ADDRESS(ROW(),COLUMN(),4),L!$A:$A,0)-1,SL,,)&amp;P38</f>
        <v>B. Ist Ihre Richtlinie zur verantwortungsvollen Beschaffung von Mineralien auf Ihrer Website einsehbar? (Hinweis – Bei „Ja“ hat der Benutzer die URL im Anmerkungsfeld anzugeben.)</v>
      </c>
      <c r="C71" s="51"/>
      <c r="D71" s="328" t="s">
        <v>25</v>
      </c>
      <c r="E71" s="329"/>
      <c r="F71" s="51"/>
      <c r="G71" s="406" t="s">
        <v>19211</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3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 customHeight="1">
      <c r="A73" s="35"/>
      <c r="B73" s="50" t="str">
        <f ca="1">OFFSET(L!$C$1,MATCH("Declaration"&amp;ADDRESS(ROW(),COLUMN(),4),L!$A:$A,0)-1,SL,,)&amp;P38</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3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35">
      <c r="A75" s="35"/>
      <c r="B75" s="34" t="str">
        <f ca="1">B39</f>
        <v>Glimmer</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3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Haben Sie Sorgfaltspflichtmaßnahmen für verantwortungsvolle Beschaffung in Kraft gesetzt?</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3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Führt Ihr Unternehmen Lieferkettenumfragen bei Ihren relevanten Lieferanten zu Cobalt bzw. natürlichen Glimmer durch?</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3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 customHeight="1">
      <c r="A81" s="35"/>
      <c r="B81" s="50" t="str">
        <f ca="1">OFFSET(L!$C$1,MATCH("Declaration"&amp;ADDRESS(ROW(),COLUMN(),4),L!$A:$A,0)-1,SL,,)&amp;P38</f>
        <v>F. Prüfen Sie die Sorgfaltspflichtangaben, die Sie von Ihren Lieferanten erhalten, gegen die Erwartungen Ihres Unternehmens?</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3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 customHeight="1">
      <c r="A83" s="35"/>
      <c r="B83" s="50" t="str">
        <f ca="1">OFFSET(L!$C$1,MATCH("Declaration"&amp;ADDRESS(ROW(),COLUMN(),4),L!$A:$A,0)-1,SL,,)&amp;P38</f>
        <v>G. Umfasst Ihr Prüfverfahren die Überwachung von Abhilfemaßnahmen?</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3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C5B80F8-8C99-456B-B67C-66552C7315D1}"/>
    <hyperlink ref="D20" r:id="rId2" xr:uid="{26A71F55-974C-42F8-B519-43E0B1C7C228}"/>
    <hyperlink ref="G71" r:id="rId3" xr:uid="{8B58E993-A62C-44E5-A60B-6429C17210A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9453125" defaultRowHeight="12.35"/>
  <cols>
    <col min="1" max="1" width="13.68359375" style="171" customWidth="1"/>
    <col min="2" max="2" width="13.20703125" style="97" customWidth="1"/>
    <col min="3" max="3" width="40.47265625" style="97" customWidth="1"/>
    <col min="4" max="4" width="30.68359375" style="97" customWidth="1"/>
    <col min="5" max="5" width="20.89453125" style="97" customWidth="1"/>
    <col min="6" max="7" width="13.89453125" style="97" customWidth="1"/>
    <col min="8" max="8" width="25.05078125" style="97" customWidth="1"/>
    <col min="9" max="9" width="24.05078125" style="97" customWidth="1"/>
    <col min="10" max="10" width="18.20703125" style="97" customWidth="1"/>
    <col min="11" max="11" width="27.20703125" style="97" customWidth="1"/>
    <col min="12" max="12" width="20.68359375" style="97" customWidth="1"/>
    <col min="13" max="13" width="35.05078125" style="97" customWidth="1"/>
    <col min="14" max="14" width="42.05078125" style="97" customWidth="1"/>
    <col min="15" max="15" width="32.05078125" style="97" customWidth="1"/>
    <col min="16" max="16" width="22.89453125" style="97" customWidth="1"/>
    <col min="17" max="17" width="43.47265625" style="97" customWidth="1"/>
    <col min="18" max="18" width="35.89453125" style="97" hidden="1" customWidth="1"/>
    <col min="19" max="20" width="17.89453125" style="97" hidden="1" customWidth="1"/>
    <col min="21" max="21" width="8.89453125" style="97" hidden="1" customWidth="1"/>
    <col min="22" max="22" width="6.05078125" style="97" hidden="1" customWidth="1"/>
    <col min="23" max="23" width="8.68359375" style="97" hidden="1" customWidth="1"/>
    <col min="24" max="24" width="8.89453125" style="97" hidden="1" customWidth="1"/>
    <col min="25" max="27" width="4.20703125" style="97" hidden="1" customWidth="1"/>
    <col min="28" max="28" width="7.89453125" style="97" hidden="1" customWidth="1"/>
    <col min="29" max="33" width="4.20703125" style="97" hidden="1" customWidth="1"/>
    <col min="34" max="34" width="14.47265625" style="97" hidden="1" customWidth="1"/>
    <col min="35" max="39" width="8.89453125" style="97" customWidth="1"/>
    <col min="40" max="16384" width="8.89453125" style="97"/>
  </cols>
  <sheetData>
    <row r="1" spans="1:34" s="17" customFormat="1" ht="13"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UM ZU BEGINNEN: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2" customHeight="1">
      <c r="A4" s="205" t="str">
        <f ca="1">OFFSET(L!$C$1,MATCH("Smelter List"&amp;ADDRESS(ROW(),COLUMN(),4),L!$A:$A,0)-1,SL,,)</f>
        <v xml:space="preserve">Eingabespalte Schmelzhüttenidentifizierungsnummer </v>
      </c>
      <c r="B4" s="129" t="str">
        <f ca="1">OFFSET(L!$C$1,MATCH("Smelter List"&amp;ADDRESS(ROW(),COLUMN(),4),L!$A:$A,0)-1,SL,,)</f>
        <v>Metall (1)</v>
      </c>
      <c r="C4" s="129" t="str">
        <f ca="1">OFFSET(L!$C$1,MATCH("Smelter List"&amp;ADDRESS(ROW(),COLUMN(),4),L!$A:$A,0)-1,SL,,)</f>
        <v>Schmelzhüttensuche (*)</v>
      </c>
      <c r="D4" s="129" t="str">
        <f ca="1">OFFSET(L!$C$1,MATCH("Smelter List"&amp;ADDRESS(ROW(),COLUMN(),4),L!$A:$A,0)-1,SL,,)</f>
        <v>Schmelzhüttenname (1)</v>
      </c>
      <c r="E4" s="129" t="str">
        <f ca="1">OFFSET(L!$C$1,MATCH("Smelter List"&amp;ADDRESS(ROW(),COLUMN(),4),L!$A:$A,0)-1,SL,,)</f>
        <v>Schmelzhütten: Land (*)</v>
      </c>
      <c r="F4" s="129" t="str">
        <f ca="1">OFFSET(L!$C$1,MATCH("Smelter List"&amp;ADDRESS(ROW(),COLUMN(),4),L!$A:$A,0)-1,SL,,)</f>
        <v>Schmelzhütte Identifizierung</v>
      </c>
      <c r="G4" s="129" t="str">
        <f ca="1">OFFSET(L!$C$1,MATCH("Smelter List"&amp;ADDRESS(ROW(),COLUMN(),4),L!$A:$A,0)-1,SL,,)</f>
        <v>Quelle der Schmelzhütte Id-Nummer</v>
      </c>
      <c r="H4" s="130" t="str">
        <f ca="1">OFFSET(L!$C$1,MATCH("Smelter List"&amp;ADDRESS(ROW(),COLUMN(),4),L!$A:$A,0)-1,SL,,)</f>
        <v>Schmelzhütten: Straße</v>
      </c>
      <c r="I4" s="130" t="str">
        <f ca="1">OFFSET(L!$C$1,MATCH("Smelter List"&amp;ADDRESS(ROW(),COLUMN(),4),L!$A:$A,0)-1,SL,,)</f>
        <v>Schmelzhütten: Stadt</v>
      </c>
      <c r="J4" s="130" t="str">
        <f ca="1">OFFSET(L!$C$1,MATCH("Smelter List"&amp;ADDRESS(ROW(),COLUMN(),4),L!$A:$A,0)-1,SL,,)</f>
        <v>Schmelzhütten: Bundesland/Provinz</v>
      </c>
      <c r="K4" s="130" t="str">
        <f ca="1">OFFSET(L!$C$1,MATCH("Smelter List"&amp;ADDRESS(ROW(),COLUMN(),4),L!$A:$A,0)-1,SL,,)</f>
        <v xml:space="preserve">Schmelzhütten-Ansprechpartner: Name </v>
      </c>
      <c r="L4" s="130" t="str">
        <f ca="1">OFFSET(L!$C$1,MATCH("Smelter List"&amp;ADDRESS(ROW(),COLUMN(),4),L!$A:$A,0)-1,SL,,)</f>
        <v>Schmelzhütten-Ansprechpartner: E-mail</v>
      </c>
      <c r="M4" s="130" t="str">
        <f ca="1">OFFSET(L!$C$1,MATCH("Smelter List"&amp;ADDRESS(ROW(),COLUMN(),4),L!$A:$A,0)-1,SL,,)</f>
        <v>Vorgeschlagenen nächsten Schritte</v>
      </c>
      <c r="N4" s="130" t="str">
        <f ca="1">OFFSET(L!$C$1,MATCH("Smelter List"&amp;ADDRESS(ROW(),COLUMN(),4),L!$A:$A,0)-1,SL,,)</f>
        <v>Name der Mine(n) oder falls aus Recycling oder Schrott, tragen Sie "recycled" oder "Schrott" ein</v>
      </c>
      <c r="O4" s="130" t="str">
        <f ca="1">OFFSET(L!$C$1,MATCH("Smelter List"&amp;ADDRESS(ROW(),COLUMN(),4),L!$A:$A,0)-1,SL,,)</f>
        <v>Standort (Land) von Minen, falls aus Recycling oder Schrott gekauft, geben Sie "recycled" oder "Schrott" ein</v>
      </c>
      <c r="P4" s="130" t="str">
        <f ca="1">OFFSET(L!$C$1,MATCH("Smelter List"&amp;ADDRESS(ROW(),COLUMN(),4),L!$A:$A,0)-1,SL,,)</f>
        <v>Stammen 100% der Ausgangsstoffe der Schmelzhütte aus Recycling oder Schrott?</v>
      </c>
      <c r="Q4" s="131" t="str">
        <f ca="1">OFFSET(L!$C$1,MATCH("Smelter List"&amp;ADDRESS(ROW(),COLUMN(),4),L!$A:$A,0)-1,SL,,)</f>
        <v>Kommentare</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35000000000000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7"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9453125" defaultRowHeight="12.35"/>
  <cols>
    <col min="1" max="1" width="45.05078125" style="16" customWidth="1"/>
    <col min="2" max="2" width="42.89453125" style="17" customWidth="1"/>
    <col min="3" max="3" width="51.47265625" style="16" customWidth="1"/>
    <col min="4" max="4" width="29.05078125" style="17" customWidth="1"/>
    <col min="5" max="5" width="9" style="16" customWidth="1"/>
    <col min="6" max="6" width="13.47265625" style="16" hidden="1" customWidth="1"/>
    <col min="7" max="7" width="13.20703125" style="16" hidden="1" customWidth="1"/>
    <col min="8" max="9" width="9" style="16" hidden="1" customWidth="1"/>
    <col min="10" max="10" width="48.89453125" style="16" hidden="1" customWidth="1"/>
    <col min="11" max="11" width="9" style="16" hidden="1" customWidth="1"/>
    <col min="12" max="13" width="8.89453125" style="16" hidden="1" customWidth="1"/>
    <col min="14" max="14" width="31.20703125" style="16" hidden="1" customWidth="1"/>
    <col min="15" max="15" width="8.89453125" style="16" hidden="1" customWidth="1"/>
    <col min="16" max="26" width="8.89453125" style="16" customWidth="1"/>
    <col min="27" max="16384" width="8.89453125" style="16"/>
  </cols>
  <sheetData>
    <row r="1" spans="1:10" ht="30" customHeight="1">
      <c r="A1" s="398" t="str">
        <f ca="1">OFFSET(L!$C$1,MATCH("Checker"&amp;ADDRESS(ROW(),COLUMN(),4),L!$A:$A,0)-1,SL,,)</f>
        <v>Um sicherzustellen, dass alle erforderlichen Felder vor dem Versand an ihren Kunden ausgefüllt sind, alle rot markierten Felder beachten.</v>
      </c>
      <c r="B1" s="398"/>
      <c r="C1" s="398"/>
      <c r="D1" s="109" t="str">
        <f ca="1">OFFSET(L!$C$1,MATCH("Checker"&amp;ADDRESS(ROW(),COLUMN(),4),L!$A:$A,0)-1,SL,,)</f>
        <v>Erforderliche Felder bitte vervollständigen.</v>
      </c>
      <c r="E1" s="17" t="s">
        <v>18</v>
      </c>
    </row>
    <row r="2" spans="1:10" ht="15.35">
      <c r="A2" s="59" t="s">
        <v>50</v>
      </c>
      <c r="B2" s="60" t="str">
        <f>IF(F60=1,"Click here to return to Smelter List","")</f>
        <v/>
      </c>
      <c r="C2" s="112" t="str">
        <f>IF(F59=1,"Click here to return to Product List","")</f>
        <v/>
      </c>
      <c r="D2" s="134" t="str">
        <f ca="1">IF(H65=0,"0",H65)</f>
        <v>0</v>
      </c>
    </row>
    <row r="3" spans="1:10" ht="15.35">
      <c r="A3" s="61" t="str">
        <f ca="1">OFFSET(L!$C$1,MATCH("Checker"&amp;ADDRESS(ROW(),COLUMN(),4),L!$A:$A,0)-1,SL,,)</f>
        <v>Erforderliche Felder</v>
      </c>
      <c r="B3" s="61" t="str">
        <f ca="1">OFFSET(L!$C$1,MATCH("Checker"&amp;ADDRESS(ROW(),COLUMN(),4),L!$A:$A,0)-1,SL,,)</f>
        <v>Antwort ist vorhanden</v>
      </c>
      <c r="C3" s="61" t="str">
        <f ca="1">OFFSET(L!$C$1,MATCH("Checker"&amp;ADDRESS(ROW(),COLUMN(),4),L!$A:$A,0)-1,SL,,)</f>
        <v>Notizen</v>
      </c>
      <c r="D3" s="61" t="str">
        <f ca="1">OFFSET(L!$C$1,MATCH("Checker"&amp;ADDRESS(ROW(),COLUMN(),4),L!$A:$A,0)-1,SL,,)</f>
        <v>Hyperlink zum Ursprung</v>
      </c>
      <c r="F3" s="62" t="s">
        <v>51</v>
      </c>
      <c r="G3" s="16" t="s">
        <v>52</v>
      </c>
      <c r="H3" s="16" t="s">
        <v>53</v>
      </c>
      <c r="I3" s="16" t="s">
        <v>54</v>
      </c>
      <c r="J3" s="16" t="s">
        <v>55</v>
      </c>
    </row>
    <row r="4" spans="1:10" ht="38">
      <c r="A4" s="136" t="str">
        <f ca="1">Declaration!B8</f>
        <v>Firmenname (*):</v>
      </c>
      <c r="B4" s="80" t="str">
        <f>Declaration!D8</f>
        <v>Placetec AG</v>
      </c>
      <c r="C4" s="137" t="str">
        <f t="shared" ref="C4:C9" ca="1" si="0">IF(H4=1,J4,I4)</f>
        <v>Vollständig</v>
      </c>
      <c r="D4" s="206" t="str">
        <f>IF(H4=1,"Click here to enter Company Name","")</f>
        <v/>
      </c>
      <c r="E4" s="17" t="s">
        <v>15</v>
      </c>
      <c r="F4" s="84">
        <v>1</v>
      </c>
      <c r="G4" s="63">
        <f t="shared" ref="G4:G9" si="1">IF(B4=0,1,0)</f>
        <v>0</v>
      </c>
      <c r="H4" s="64">
        <f>F4*G4</f>
        <v>0</v>
      </c>
      <c r="I4" s="132" t="str">
        <f ca="1">OFFSET(L!$C$1,MATCH("Checker"&amp;"Comp",L!$A:$A,0)-1,SL,,)</f>
        <v>Vollständig</v>
      </c>
      <c r="J4" s="133" t="str">
        <f ca="1">OFFSET(L!$C$1,MATCH("Checker"&amp;ADDRESS(ROW(),COLUMN(),4),L!$A:$A,0)-1,SL,,)</f>
        <v>Geben Sie den Namen Ihres Unternehmens in der Reiterzelle D8 der Erklärung an</v>
      </c>
    </row>
    <row r="5" spans="1:10" ht="38">
      <c r="A5" s="136" t="str">
        <f ca="1">Declaration!B9</f>
        <v>Geltungsbereich der Erklärung (*):</v>
      </c>
      <c r="B5" s="80" t="str">
        <f>Declaration!D9</f>
        <v>C. User defined [Specify in 'Description of scope']</v>
      </c>
      <c r="C5" s="137" t="str">
        <f t="shared" ca="1" si="0"/>
        <v>Vollständig</v>
      </c>
      <c r="D5" s="86" t="str">
        <f>IF(H5=1,"Click here to enter Declaration Scope","")</f>
        <v/>
      </c>
      <c r="E5" s="17" t="s">
        <v>15</v>
      </c>
      <c r="F5" s="84">
        <v>1</v>
      </c>
      <c r="G5" s="63">
        <f t="shared" si="1"/>
        <v>0</v>
      </c>
      <c r="H5" s="64">
        <f t="shared" ref="H5:H18" si="2">F5*G5</f>
        <v>0</v>
      </c>
      <c r="I5" s="132" t="str">
        <f ca="1">OFFSET(L!$C$1,MATCH("Checker"&amp;"Comp",L!$A:$A,0)-1,SL,,)</f>
        <v>Vollständig</v>
      </c>
      <c r="J5" s="133" t="str">
        <f ca="1">OFFSET(L!$C$1,MATCH("Checker"&amp;ADDRESS(ROW(),COLUMN(),4),L!$A:$A,0)-1,SL,,)</f>
        <v>Wählen Sie den Umfang der Erklärung in der Reiterzelle D9 der Erklärung aus</v>
      </c>
    </row>
    <row r="6" spans="1:10" ht="38">
      <c r="A6" s="81" t="str">
        <f ca="1">Declaration!B10</f>
        <v>Beschreibung des Geltungsbereichs (*):</v>
      </c>
      <c r="B6" s="80" t="str">
        <f>Declaration!D10</f>
        <v>Elektronikfertigung  Electronic Manufacturing Services (EMS)</v>
      </c>
      <c r="C6" s="80" t="str">
        <f t="shared" ca="1" si="0"/>
        <v>Vollständig</v>
      </c>
      <c r="D6" s="86" t="str">
        <f>IF(H6=1,"Click here to provide a Description of Scope","")</f>
        <v/>
      </c>
      <c r="E6" s="17" t="s">
        <v>15</v>
      </c>
      <c r="F6" s="85">
        <f>IF(OR(B5=Declaration!P9,B5=Declaration!Q9,B5=0),0,1)</f>
        <v>1</v>
      </c>
      <c r="G6" s="63">
        <f t="shared" si="1"/>
        <v>0</v>
      </c>
      <c r="H6" s="64">
        <f t="shared" si="2"/>
        <v>0</v>
      </c>
      <c r="I6" s="132" t="str">
        <f ca="1">OFFSET(L!$C$1,MATCH("Checker"&amp;"Comp",L!$A:$A,0)-1,SL,,)</f>
        <v>Vollständig</v>
      </c>
      <c r="J6" s="16" t="str">
        <f ca="1">OFFSET(L!$C$1,MATCH("Checker"&amp;ADDRESS(ROW(),COLUMN(),4),L!$A:$A,0)-1,SL,,)</f>
        <v>Geben Sie eine Beschreibung des Umfangs in der Reiterzelle D10 der Erklärung an</v>
      </c>
    </row>
    <row r="7" spans="1:10" ht="38">
      <c r="A7" s="136" t="str">
        <f ca="1">Declaration!B15</f>
        <v>Name des Ansprechpartners (*):</v>
      </c>
      <c r="B7" s="80" t="str">
        <f>Declaration!D15</f>
        <v>Rolf Weyermann</v>
      </c>
      <c r="C7" s="137" t="str">
        <f t="shared" ca="1" si="0"/>
        <v>Vollständig</v>
      </c>
      <c r="D7" s="86" t="str">
        <f>IF(H7=1,"Click here to enter Contact Name","")</f>
        <v/>
      </c>
      <c r="E7" s="17" t="s">
        <v>15</v>
      </c>
      <c r="F7" s="84">
        <v>1</v>
      </c>
      <c r="G7" s="63">
        <f t="shared" si="1"/>
        <v>0</v>
      </c>
      <c r="H7" s="64">
        <f t="shared" si="2"/>
        <v>0</v>
      </c>
      <c r="I7" s="132" t="str">
        <f ca="1">OFFSET(L!$C$1,MATCH("Checker"&amp;"Comp",L!$A:$A,0)-1,SL,,)</f>
        <v>Vollständig</v>
      </c>
      <c r="J7" s="16" t="str">
        <f ca="1">OFFSET(L!$C$1,MATCH("Checker"&amp;ADDRESS(ROW(),COLUMN(),4),L!$A:$A,0)-1,SL,,)</f>
        <v>Geben Sie einen Kontaktnamen in der Reiterzelle D15 der Erklärung an</v>
      </c>
    </row>
    <row r="8" spans="1:10" ht="38">
      <c r="A8" s="136" t="str">
        <f ca="1">Declaration!B16</f>
        <v>E-Mail-Adresse des Ansprechpartners (*):</v>
      </c>
      <c r="B8" s="80" t="str">
        <f>Declaration!D16</f>
        <v>rolf.weyermann@placetec.ch</v>
      </c>
      <c r="C8" s="137" t="str">
        <f t="shared" ca="1" si="0"/>
        <v>Vollständig</v>
      </c>
      <c r="D8" s="86" t="str">
        <f>IF(H8=1,"Click here to enter Email-Contact","")</f>
        <v/>
      </c>
      <c r="E8" s="17" t="s">
        <v>15</v>
      </c>
      <c r="F8" s="84">
        <v>1</v>
      </c>
      <c r="G8" s="63">
        <f>IF(ISNUMBER(SEARCH("@",B8)),0,1)</f>
        <v>0</v>
      </c>
      <c r="H8" s="64">
        <f t="shared" si="2"/>
        <v>0</v>
      </c>
      <c r="I8" s="132" t="str">
        <f ca="1">OFFSET(L!$C$1,MATCH("Checker"&amp;"Comp",L!$A:$A,0)-1,SL,,)</f>
        <v>Vollständig</v>
      </c>
      <c r="J8" s="16" t="str">
        <f ca="1">OFFSET(L!$C$1,MATCH("Checker"&amp;ADDRESS(ROW(),COLUMN(),4),L!$A:$A,0)-1,SL,,)</f>
        <v>Geben Sie eine gültige Kontakt-E-Mail-Adresse in der Reiterzelle D16 der Erklärung an</v>
      </c>
    </row>
    <row r="9" spans="1:10" ht="38">
      <c r="A9" s="136" t="str">
        <f ca="1">Declaration!B17</f>
        <v>Telefonnummer des Ansprechpartners (*):</v>
      </c>
      <c r="B9" s="80" t="str">
        <f>Declaration!D17</f>
        <v>++41 61 973 03 80</v>
      </c>
      <c r="C9" s="137" t="str">
        <f t="shared" ca="1" si="0"/>
        <v>Vollständig</v>
      </c>
      <c r="D9" s="86" t="str">
        <f>IF(H9=1,"Click here to enter Phone-Contact","")</f>
        <v/>
      </c>
      <c r="E9" s="17" t="s">
        <v>15</v>
      </c>
      <c r="F9" s="84">
        <v>1</v>
      </c>
      <c r="G9" s="63">
        <f t="shared" si="1"/>
        <v>0</v>
      </c>
      <c r="H9" s="64">
        <f t="shared" si="2"/>
        <v>0</v>
      </c>
      <c r="I9" s="132" t="str">
        <f ca="1">OFFSET(L!$C$1,MATCH("Checker"&amp;"Comp",L!$A:$A,0)-1,SL,,)</f>
        <v>Vollständig</v>
      </c>
      <c r="J9" s="16" t="str">
        <f ca="1">OFFSET(L!$C$1,MATCH("Checker"&amp;ADDRESS(ROW(),COLUMN(),4),L!$A:$A,0)-1,SL,,)</f>
        <v>Geben Sie eine Kontakttelefonnummer in der Reiterzelle D17 der Erklärung an</v>
      </c>
    </row>
    <row r="10" spans="1:10" ht="38">
      <c r="A10" s="136" t="str">
        <f ca="1">Declaration!B18</f>
        <v>Bevollmächtigter (*):</v>
      </c>
      <c r="B10" s="80" t="str">
        <f>Declaration!D18</f>
        <v>Rolf Weyermann</v>
      </c>
      <c r="C10" s="137" t="str">
        <f t="shared" ref="C10:C58" ca="1" si="3">IF(H10=1,J10,I10)</f>
        <v>Vollständig</v>
      </c>
      <c r="D10" s="86" t="str">
        <f>IF(H10=1,"Click here to enter an Authorized Company Representative's name","")</f>
        <v/>
      </c>
      <c r="E10" s="17" t="s">
        <v>15</v>
      </c>
      <c r="F10" s="84">
        <v>1</v>
      </c>
      <c r="G10" s="63">
        <f t="shared" ref="G10:G18" si="4">IF(B10=0,1,0)</f>
        <v>0</v>
      </c>
      <c r="H10" s="64">
        <f t="shared" si="2"/>
        <v>0</v>
      </c>
      <c r="I10" s="132" t="str">
        <f ca="1">OFFSET(L!$C$1,MATCH("Checker"&amp;"Comp",L!$A:$A,0)-1,SL,,)</f>
        <v>Vollständig</v>
      </c>
      <c r="J10" s="16" t="str">
        <f ca="1">OFFSET(L!$C$1,MATCH("Checker"&amp;ADDRESS(ROW(),COLUMN(),4),L!$A:$A,0)-1,SL,,)</f>
        <v>Geben Sie den Kontaktnamen eines bevollmächtigten Unternehmensvertreters in der Reiterzelle D18 der Erklärung an</v>
      </c>
    </row>
    <row r="11" spans="1:10" ht="38">
      <c r="A11" s="81" t="str">
        <f ca="1">Declaration!B20</f>
        <v>E-Mail-Adresse des Bevollmächtigten (*):</v>
      </c>
      <c r="B11" s="80" t="str">
        <f>Declaration!D20</f>
        <v>rolf.weyermann@placetec.ch</v>
      </c>
      <c r="C11" s="80" t="str">
        <f t="shared" ca="1" si="3"/>
        <v>Vollständig</v>
      </c>
      <c r="D11" s="86" t="str">
        <f>IF(H11=1,"Click here to enter Representative's email","")</f>
        <v/>
      </c>
      <c r="E11" s="17" t="s">
        <v>15</v>
      </c>
      <c r="F11" s="84">
        <v>1</v>
      </c>
      <c r="G11" s="63">
        <f>IF(ISNUMBER(SEARCH("@",B11)),0,1)</f>
        <v>0</v>
      </c>
      <c r="H11" s="64">
        <f t="shared" si="2"/>
        <v>0</v>
      </c>
      <c r="I11" s="132" t="str">
        <f ca="1">OFFSET(L!$C$1,MATCH("Checker"&amp;"Comp",L!$A:$A,0)-1,SL,,)</f>
        <v>Vollständig</v>
      </c>
      <c r="J11" s="16" t="str">
        <f ca="1">OFFSET(L!$C$1,MATCH("Checker"&amp;ADDRESS(ROW(),COLUMN(),4),L!$A:$A,0)-1,SL,,)</f>
        <v>Geben Sie eine gültige E-Mail-Adresse eines bevollmächtigten Unternehmensvertreters in der Reiterzelle D20 der Erklärung an</v>
      </c>
    </row>
    <row r="12" spans="1:10" ht="38" hidden="1">
      <c r="A12" s="81" t="str">
        <f ca="1">Declaration!B21</f>
        <v>Telefonnummer des Bevollmächtigten:</v>
      </c>
      <c r="B12" s="80" t="str">
        <f>Declaration!D21</f>
        <v>++41 61 973 03 80</v>
      </c>
      <c r="C12" s="80" t="str">
        <f ca="1">IF(H12=1,J12,I12)</f>
        <v>Vollständig</v>
      </c>
      <c r="D12" s="86" t="str">
        <f>IF(H12=1,"Click here to enter Representative's phone","")</f>
        <v/>
      </c>
      <c r="E12" s="17" t="s">
        <v>15</v>
      </c>
      <c r="F12" s="84"/>
      <c r="G12" s="63">
        <f>IF(B12=0,1,0)</f>
        <v>0</v>
      </c>
      <c r="H12" s="64">
        <f>F12*G12</f>
        <v>0</v>
      </c>
      <c r="I12" s="132" t="str">
        <f ca="1">OFFSET(L!$C$1,MATCH("Checker"&amp;"Comp",L!$A:$A,0)-1,SL,,)</f>
        <v>Vollständig</v>
      </c>
      <c r="J12" s="16" t="str">
        <f ca="1">OFFSET(L!$C$1,MATCH("Checker"&amp;ADDRESS(ROW(),COLUMN(),4),L!$A:$A,0)-1,SL,,)</f>
        <v>Geben Sie eine Kontakttelefonnummer eines bevollmächtigten Unternehmensvertreters in der Reiterzelle D21 der Erklärung an</v>
      </c>
    </row>
    <row r="13" spans="1:10" ht="38">
      <c r="A13" s="81" t="str">
        <f ca="1">Declaration!B22</f>
        <v>Datum (*):</v>
      </c>
      <c r="B13" s="82">
        <f>Declaration!D22</f>
        <v>45757</v>
      </c>
      <c r="C13" s="80" t="str">
        <f t="shared" ca="1" si="3"/>
        <v>Vollständig</v>
      </c>
      <c r="D13" s="86" t="str">
        <f>IF(H13=1,"Click here to enter Date of Completion","")</f>
        <v/>
      </c>
      <c r="E13" s="17" t="s">
        <v>15</v>
      </c>
      <c r="F13" s="84">
        <v>1</v>
      </c>
      <c r="G13" s="63">
        <f t="shared" si="4"/>
        <v>0</v>
      </c>
      <c r="H13" s="64">
        <f t="shared" si="2"/>
        <v>0</v>
      </c>
      <c r="I13" s="132" t="str">
        <f ca="1">OFFSET(L!$C$1,MATCH("Checker"&amp;"Comp",L!$A:$A,0)-1,SL,,)</f>
        <v>Vollständig</v>
      </c>
      <c r="J13" s="16" t="str">
        <f ca="1">OFFSET(L!$C$1,MATCH("Checker"&amp;ADDRESS(ROW(),COLUMN(),4),L!$A:$A,0)-1,SL,,)</f>
        <v>Geben Sie das Datum der Vervollständigung des Formulars in der Reiterzelle D22 der Erklärung an</v>
      </c>
    </row>
    <row r="14" spans="1:10" ht="61.7">
      <c r="A14" s="80" t="str">
        <f ca="1">Declaration!B25</f>
        <v>1) Wird absichtlich Cobalt oder natürlicher Glimmer im Herstellungsprozess verwendet oder in das bzw. die Produkte aufgenommen? (*)</v>
      </c>
      <c r="B14" s="83"/>
      <c r="C14" s="83"/>
      <c r="D14" s="87"/>
      <c r="E14" s="17" t="s">
        <v>16</v>
      </c>
      <c r="F14" s="84"/>
      <c r="H14" s="16">
        <f t="shared" si="2"/>
        <v>0</v>
      </c>
    </row>
    <row r="15" spans="1:10" ht="25.7">
      <c r="A15" s="81" t="str">
        <f ca="1">Declaration!B26</f>
        <v>Cobalt</v>
      </c>
      <c r="B15" s="80" t="str">
        <f>Declaration!D26</f>
        <v>No</v>
      </c>
      <c r="C15" s="80" t="str">
        <f t="shared" ca="1" si="3"/>
        <v>Vollständig</v>
      </c>
      <c r="D15" s="86" t="str">
        <f>IF(H15=1,"Click here to answer question 1 for Cobalt","")</f>
        <v/>
      </c>
      <c r="E15" s="17" t="s">
        <v>18</v>
      </c>
      <c r="F15" s="84">
        <v>1</v>
      </c>
      <c r="G15" s="63">
        <f t="shared" si="4"/>
        <v>0</v>
      </c>
      <c r="H15" s="64">
        <f t="shared" si="2"/>
        <v>0</v>
      </c>
      <c r="I15" s="132" t="str">
        <f ca="1">OFFSET(L!$C$1,MATCH("Checker"&amp;"Comp",L!$A:$A,0)-1,SL,,)</f>
        <v>Vollständig</v>
      </c>
      <c r="J15" s="133" t="str">
        <f ca="1">OFFSET(L!$C$1,MATCH("Checker"&amp;ADDRESS(ROW(),COLUMN(),4),L!$A:$A,0)-1,SL,,)</f>
        <v>Erklären Sie in der Reiterzelle D26 der Erklärung, ob Cobalt Ihren Produkten absichtlich hinzugefügt wird</v>
      </c>
    </row>
    <row r="16" spans="1:10" ht="38">
      <c r="A16" s="81" t="str">
        <f ca="1">Declaration!B27</f>
        <v>Glimmer</v>
      </c>
      <c r="B16" s="80" t="str">
        <f>Declaration!D27</f>
        <v>No</v>
      </c>
      <c r="C16" s="80" t="str">
        <f t="shared" ca="1" si="3"/>
        <v>Vollständig</v>
      </c>
      <c r="D16" s="86" t="str">
        <f>IF(H16=1,"Click here to answer question 1 for Mica","")</f>
        <v/>
      </c>
      <c r="E16" s="17" t="s">
        <v>15</v>
      </c>
      <c r="F16" s="84">
        <v>1</v>
      </c>
      <c r="G16" s="63">
        <f t="shared" si="4"/>
        <v>0</v>
      </c>
      <c r="H16" s="64">
        <f t="shared" si="2"/>
        <v>0</v>
      </c>
      <c r="I16" s="132" t="str">
        <f ca="1">OFFSET(L!$C$1,MATCH("Checker"&amp;"Comp",L!$A:$A,0)-1,SL,,)</f>
        <v>Vollständig</v>
      </c>
      <c r="J16" s="133" t="str">
        <f ca="1">OFFSET(L!$C$1,MATCH("Checker"&amp;ADDRESS(ROW(),COLUMN(),4),L!$A:$A,0)-1,SL,,)</f>
        <v>Erklären Sie in der Reiterzelle D27 der Erklärung, ob natürlicher Glimmer Ihren Produkten absichtlich hinzugefügt wird</v>
      </c>
    </row>
    <row r="17" spans="1:10" ht="38" hidden="1">
      <c r="A17" s="81" t="str">
        <f ca="1">Declaration!B28</f>
        <v/>
      </c>
      <c r="B17" s="80" t="str">
        <f>Declaration!D28</f>
        <v>No</v>
      </c>
      <c r="C17" s="80" t="str">
        <f t="shared" ca="1" si="3"/>
        <v>Vollständig</v>
      </c>
      <c r="D17" s="86" t="str">
        <f>IF(H17=1,"Click here to answer question 1 for Gold","")</f>
        <v/>
      </c>
      <c r="E17" s="17" t="s">
        <v>15</v>
      </c>
      <c r="F17" s="84">
        <v>1</v>
      </c>
      <c r="G17" s="63">
        <f t="shared" si="4"/>
        <v>0</v>
      </c>
      <c r="H17" s="64">
        <f t="shared" si="2"/>
        <v>0</v>
      </c>
      <c r="I17" s="132" t="str">
        <f ca="1">OFFSET(L!$C$1,MATCH("Checker"&amp;"Comp",L!$A:$A,0)-1,SL,,)</f>
        <v>Vollständig</v>
      </c>
      <c r="J17" s="133">
        <f ca="1">OFFSET(L!$C$1,MATCH("Checker"&amp;ADDRESS(ROW(),COLUMN(),4),L!$A:$A,0)-1,SL,,)</f>
        <v>0</v>
      </c>
    </row>
    <row r="18" spans="1:10" ht="38" hidden="1">
      <c r="A18" s="81" t="str">
        <f ca="1">Declaration!B29</f>
        <v/>
      </c>
      <c r="B18" s="80" t="str">
        <f>Declaration!D29</f>
        <v>No</v>
      </c>
      <c r="C18" s="80" t="str">
        <f t="shared" ca="1" si="3"/>
        <v>Vollständig</v>
      </c>
      <c r="D18" s="86" t="str">
        <f>IF(H18=1,"Click here to answer question 1 for Tungsten","")</f>
        <v/>
      </c>
      <c r="E18" s="17" t="s">
        <v>15</v>
      </c>
      <c r="F18" s="84">
        <v>1</v>
      </c>
      <c r="G18" s="63">
        <f t="shared" si="4"/>
        <v>0</v>
      </c>
      <c r="H18" s="64">
        <f t="shared" si="2"/>
        <v>0</v>
      </c>
      <c r="I18" s="132" t="str">
        <f ca="1">OFFSET(L!$C$1,MATCH("Checker"&amp;"Comp",L!$A:$A,0)-1,SL,,)</f>
        <v>Vollständig</v>
      </c>
      <c r="J18" s="133">
        <f ca="1">OFFSET(L!$C$1,MATCH("Checker"&amp;ADDRESS(ROW(),COLUMN(),4),L!$A:$A,0)-1,SL,,)</f>
        <v>0</v>
      </c>
    </row>
    <row r="19" spans="1:10" ht="37">
      <c r="A19" s="80" t="str">
        <f ca="1">Declaration!B31</f>
        <v>2) Verbleibt Cobalt oder natürlicher Glimmer in dem bzw. den Produkten? (*)</v>
      </c>
      <c r="B19" s="83"/>
      <c r="C19" s="83"/>
      <c r="D19" s="87"/>
      <c r="E19" s="17" t="s">
        <v>15</v>
      </c>
      <c r="F19" s="84"/>
      <c r="J19" s="133"/>
    </row>
    <row r="20" spans="1:10" ht="63.7" customHeight="1">
      <c r="A20" s="81" t="str">
        <f ca="1">Declaration!B32</f>
        <v>Cobalt</v>
      </c>
      <c r="B20" s="80">
        <f>Declaration!D32</f>
        <v>0</v>
      </c>
      <c r="C20" s="137" t="str">
        <f t="shared" ref="C20:C21" ca="1" si="5">IF(H20=1,J20,I20)</f>
        <v>Vollständig</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Vollständig</v>
      </c>
      <c r="J20" s="16" t="str">
        <f ca="1">OFFSET(L!$C$1,MATCH("Checker"&amp;ADDRESS(ROW(),COLUMN(),4),L!$A:$A,0)-1,SL,,)</f>
        <v>Erklären Sie in der Reiterzelle D32 der Erklärung, ob Cobalt für die Herstellung Ihrer Produkte erforderlich ist und ob es in den angegebenen Endprodukten enthalten ist</v>
      </c>
    </row>
    <row r="21" spans="1:10" ht="50.2" customHeight="1">
      <c r="A21" s="81" t="str">
        <f ca="1">Declaration!B33</f>
        <v>Glimmer</v>
      </c>
      <c r="B21" s="80">
        <f>Declaration!D33</f>
        <v>0</v>
      </c>
      <c r="C21" s="137" t="str">
        <f t="shared" ca="1" si="5"/>
        <v>Vollständig</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Vollständig</v>
      </c>
      <c r="J21" s="16" t="str">
        <f ca="1">OFFSET(L!$C$1,MATCH("Checker"&amp;ADDRESS(ROW(),COLUMN(),4),L!$A:$A,0)-1,SL,,)</f>
        <v>Erklären Sie in der Reiterzelle D33 der Erklärung, ob Glimmer für die Herstellung Ihrer Produkte erforderlich ist und ob es in den angegebenen Endprodukten enthalten ist</v>
      </c>
    </row>
    <row r="22" spans="1:10" ht="61.7">
      <c r="A22" s="80" t="str">
        <f ca="1">Declaration!B37</f>
        <v>3) Bezieht einer der Verhüttungsbetrieb oder das Verarbeitungsunternehmen in Ihrer Lieferkette das Cobalt oder den natürlichen Glimmer aus Konflikt- und Hochrisikogebieten? (OECD Due Diligence Guidance, siehe Registerkarte Definitionen)</v>
      </c>
      <c r="B22" s="83"/>
      <c r="C22" s="83"/>
      <c r="D22" s="87"/>
      <c r="E22" s="17" t="s">
        <v>15</v>
      </c>
      <c r="F22" s="84"/>
      <c r="J22" s="133"/>
    </row>
    <row r="23" spans="1:10" ht="49.5" customHeight="1">
      <c r="A23" s="81" t="str">
        <f ca="1">Declaration!B38</f>
        <v>Cobalt</v>
      </c>
      <c r="B23" s="80">
        <f>Declaration!D38</f>
        <v>0</v>
      </c>
      <c r="C23" s="137" t="str">
        <f t="shared" ca="1" si="3"/>
        <v>Vollständig</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Vollständig</v>
      </c>
      <c r="J23" s="16" t="str">
        <f ca="1">OFFSET(L!$C$1,MATCH("Checker"&amp;ADDRESS(ROW(),COLUMN(),4),L!$A:$A,0)-1,SL,,)</f>
        <v>Geben Sie in Zelle D38 der Erklärung, ob innerhalb des Umfangs der in dieser Umfrage angegebenen Produkte verwendetes Cobalt aus einem konfliktbetroffenen und risikoreichen Gebiet stammt</v>
      </c>
    </row>
    <row r="24" spans="1:10" ht="54" customHeight="1">
      <c r="A24" s="81" t="str">
        <f ca="1">Declaration!B39</f>
        <v>Glimmer</v>
      </c>
      <c r="B24" s="80">
        <f>Declaration!D39</f>
        <v>0</v>
      </c>
      <c r="C24" s="137" t="str">
        <f t="shared" ca="1" si="3"/>
        <v>Vollständig</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Vollständig</v>
      </c>
      <c r="J24" s="16" t="str">
        <f ca="1">OFFSET(L!$C$1,MATCH("Checker"&amp;ADDRESS(ROW(),COLUMN(),4),L!$A:$A,0)-1,SL,,)</f>
        <v>Geben Sie in Zelle D39 der Erklärung an, ob innerhalb des Umfangs der in dieser Umfrage angegebenen Produkte verwendetes Glimmer aus einem konfliktbetroffenen und risikoreichen Gebiet stammt</v>
      </c>
    </row>
    <row r="25" spans="1:10" ht="38" hidden="1">
      <c r="A25" s="81">
        <f ca="1">Declaration!B40</f>
        <v>0</v>
      </c>
      <c r="B25" s="80">
        <f>Declaration!D40</f>
        <v>0</v>
      </c>
      <c r="C25" s="137" t="str">
        <f t="shared" ca="1" si="3"/>
        <v>Vollständig</v>
      </c>
      <c r="D25" s="88" t="str">
        <f>IF(H25=1,"Click here to answer question 3 for Gold","")</f>
        <v/>
      </c>
      <c r="E25" s="17" t="s">
        <v>15</v>
      </c>
      <c r="F25" s="85">
        <f>IF(B$17="No",0,1)</f>
        <v>0</v>
      </c>
      <c r="G25" s="63">
        <f t="shared" si="8"/>
        <v>1</v>
      </c>
      <c r="H25" s="64">
        <f t="shared" si="9"/>
        <v>0</v>
      </c>
      <c r="I25" s="132" t="str">
        <f ca="1">OFFSET(L!$C$1,MATCH("Checker"&amp;"Comp",L!$A:$A,0)-1,SL,,)</f>
        <v>Vollständig</v>
      </c>
      <c r="J25" s="16" t="e">
        <f ca="1">OFFSET(L!$C$1,MATCH("Checker"&amp;ADDRESS(ROW(),COLUMN(),4),L!$A:$A,0)-1,SL,,)</f>
        <v>#N/A</v>
      </c>
    </row>
    <row r="26" spans="1:10" ht="38" hidden="1">
      <c r="A26" s="81">
        <f ca="1">Declaration!B41</f>
        <v>0</v>
      </c>
      <c r="B26" s="80">
        <f>Declaration!D41</f>
        <v>0</v>
      </c>
      <c r="C26" s="137" t="str">
        <f t="shared" ca="1" si="3"/>
        <v>Vollständig</v>
      </c>
      <c r="D26" s="88" t="str">
        <f>IF(H26=1,"Click here to answer question 3 for Tungsten","")</f>
        <v/>
      </c>
      <c r="E26" s="17" t="s">
        <v>15</v>
      </c>
      <c r="F26" s="85">
        <f>IF(B$18="No",0,1)</f>
        <v>0</v>
      </c>
      <c r="G26" s="63">
        <f t="shared" si="8"/>
        <v>1</v>
      </c>
      <c r="H26" s="64">
        <f t="shared" si="9"/>
        <v>0</v>
      </c>
      <c r="I26" s="132" t="str">
        <f ca="1">OFFSET(L!$C$1,MATCH("Checker"&amp;"Comp",L!$A:$A,0)-1,SL,,)</f>
        <v>Vollständig</v>
      </c>
      <c r="J26" s="16" t="e">
        <f ca="1">OFFSET(L!$C$1,MATCH("Checker"&amp;ADDRESS(ROW(),COLUMN(),4),L!$A:$A,0)-1,SL,,)</f>
        <v>#N/A</v>
      </c>
    </row>
    <row r="27" spans="1:10" ht="37">
      <c r="A27" s="80" t="str">
        <f ca="1">Declaration!B43</f>
        <v>4) Stammt 100 Prozent des Cobalts aus Recycling- oder Schrottquellen?</v>
      </c>
      <c r="B27" s="83"/>
      <c r="C27" s="83"/>
      <c r="D27" s="87"/>
      <c r="E27" s="17" t="s">
        <v>15</v>
      </c>
      <c r="F27" s="84"/>
      <c r="J27" s="133"/>
    </row>
    <row r="28" spans="1:10" ht="59.45" customHeight="1">
      <c r="A28" s="81" t="str">
        <f ca="1">Declaration!B44</f>
        <v>Cobalt</v>
      </c>
      <c r="B28" s="80">
        <f>Declaration!D44</f>
        <v>0</v>
      </c>
      <c r="C28" s="137" t="str">
        <f ca="1">IF(H28=1,J28,I28)</f>
        <v>Vollständig</v>
      </c>
      <c r="D28" s="195" t="str">
        <f>IF(H28=1,"Click here to answer question 4 for Cobalt","")</f>
        <v/>
      </c>
      <c r="E28" s="17" t="s">
        <v>15</v>
      </c>
      <c r="F28" s="85">
        <f>F23</f>
        <v>0</v>
      </c>
      <c r="G28" s="63">
        <f>IF(B28=0,1,0)</f>
        <v>1</v>
      </c>
      <c r="H28" s="64">
        <f>F28*G28</f>
        <v>0</v>
      </c>
      <c r="I28" s="132" t="str">
        <f ca="1">OFFSET(L!$C$1,MATCH("Checker"&amp;"Comp",L!$A:$A,0)-1,SL,,)</f>
        <v>Vollständig</v>
      </c>
      <c r="J28" s="133" t="str">
        <f ca="1">OFFSET(L!$C$1,MATCH("Checker"&amp;ADDRESS(ROW(),COLUMN(),4),L!$A:$A,0)-1,SL,,)</f>
        <v>Erklären Sie in der Reiterzelle D44 der Erklärung, ob innerhalb des Umfangs der in dieser Umfrage angegebenen Produkte verwendetes Cobalt vollständig aus Recycling oder Schrott stammt</v>
      </c>
    </row>
    <row r="29" spans="1:10" ht="48.7" hidden="1" customHeight="1">
      <c r="A29" s="81">
        <f>Declaration!B45</f>
        <v>0</v>
      </c>
      <c r="B29" s="80">
        <f>Declaration!D45</f>
        <v>0</v>
      </c>
      <c r="C29" s="137" t="str">
        <f ca="1">IF(H29=1,J29,I29)</f>
        <v>Vollständig</v>
      </c>
      <c r="D29" s="88" t="str">
        <f>IF(H29=1,"Click here to answer question 4 for Mica","")</f>
        <v/>
      </c>
      <c r="E29" s="17" t="s">
        <v>15</v>
      </c>
      <c r="F29" s="85"/>
      <c r="G29" s="63">
        <f>IF(B29=0,1,0)</f>
        <v>1</v>
      </c>
      <c r="H29" s="64">
        <f>F29*G29</f>
        <v>0</v>
      </c>
      <c r="I29" s="132" t="str">
        <f ca="1">OFFSET(L!$C$1,MATCH("Checker"&amp;"Comp",L!$A:$A,0)-1,SL,,)</f>
        <v>Vollständig</v>
      </c>
      <c r="J29" s="133" t="str">
        <f ca="1">OFFSET(L!$C$1,MATCH("Checker"&amp;ADDRESS(ROW(),COLUMN(),4),L!$A:$A,0)-1,SL,,)</f>
        <v>Erklären Sie in der Reiterzelle D45 der Erklärung, ob innerhalb des Umfangs der in dieser Umfrage angegebenen Produkte verwendetes Gimmer vollständig aus Recycling oder Schrott stammt</v>
      </c>
    </row>
    <row r="30" spans="1:10" ht="38" hidden="1">
      <c r="A30" s="81">
        <f ca="1">Declaration!B46</f>
        <v>0</v>
      </c>
      <c r="B30" s="80">
        <f>Declaration!D46</f>
        <v>0</v>
      </c>
      <c r="C30" s="137" t="str">
        <f ca="1">IF(H30=1,J30,I30)</f>
        <v>Vollständig</v>
      </c>
      <c r="D30" s="88" t="str">
        <f>IF(H30=1,"Click here to answer question 4 for Gold","")</f>
        <v/>
      </c>
      <c r="E30" s="17" t="s">
        <v>15</v>
      </c>
      <c r="F30" s="85">
        <f>F25</f>
        <v>0</v>
      </c>
      <c r="G30" s="63">
        <f>IF(B30=0,1,0)</f>
        <v>1</v>
      </c>
      <c r="H30" s="64">
        <f>F30*G30</f>
        <v>0</v>
      </c>
      <c r="I30" s="132" t="str">
        <f ca="1">OFFSET(L!$C$1,MATCH("Checker"&amp;"Comp",L!$A:$A,0)-1,SL,,)</f>
        <v>Vollständig</v>
      </c>
      <c r="J30" s="133" t="e">
        <f ca="1">OFFSET(L!$C$1,MATCH("Checker"&amp;ADDRESS(ROW(),COLUMN(),4),L!$A:$A,0)-1,SL,,)</f>
        <v>#N/A</v>
      </c>
    </row>
    <row r="31" spans="1:10" ht="38" hidden="1">
      <c r="A31" s="81">
        <f ca="1">Declaration!B47</f>
        <v>0</v>
      </c>
      <c r="B31" s="80">
        <f>Declaration!D47</f>
        <v>0</v>
      </c>
      <c r="C31" s="137" t="str">
        <f ca="1">IF(H31=1,J31,I31)</f>
        <v>Vollständig</v>
      </c>
      <c r="D31" s="88" t="str">
        <f>IF(H31=1,"Click here to answer question 4 for Tungsten","")</f>
        <v/>
      </c>
      <c r="E31" s="17" t="s">
        <v>15</v>
      </c>
      <c r="F31" s="85">
        <f>F26</f>
        <v>0</v>
      </c>
      <c r="G31" s="63">
        <f>IF(B31=0,1,0)</f>
        <v>1</v>
      </c>
      <c r="H31" s="64">
        <f>F31*G31</f>
        <v>0</v>
      </c>
      <c r="I31" s="132" t="str">
        <f ca="1">OFFSET(L!$C$1,MATCH("Checker"&amp;"Comp",L!$A:$A,0)-1,SL,,)</f>
        <v>Vollständig</v>
      </c>
      <c r="J31" s="133" t="e">
        <f ca="1">OFFSET(L!$C$1,MATCH("Checker"&amp;ADDRESS(ROW(),COLUMN(),4),L!$A:$A,0)-1,SL,,)</f>
        <v>#N/A</v>
      </c>
    </row>
    <row r="32" spans="1:10" ht="37">
      <c r="A32" s="80" t="str">
        <f ca="1">Declaration!B49</f>
        <v>5) Wie hoch ist der Prozentsatz an Lieferanten, die auf Ihre Lieferkettenumfrage geantwortet haben?</v>
      </c>
      <c r="B32" s="83"/>
      <c r="C32" s="83"/>
      <c r="D32" s="87"/>
      <c r="E32" s="17" t="s">
        <v>15</v>
      </c>
      <c r="F32" s="84"/>
    </row>
    <row r="33" spans="1:10" ht="25.7">
      <c r="A33" s="81" t="str">
        <f ca="1">Declaration!B50</f>
        <v>Cobalt</v>
      </c>
      <c r="B33" s="80">
        <f>Declaration!D50</f>
        <v>0</v>
      </c>
      <c r="C33" s="137" t="str">
        <f t="shared" ca="1" si="3"/>
        <v>Vollständig</v>
      </c>
      <c r="D33" s="232" t="str">
        <f>IF(H33=1,"Click here to answer question 5 for Cobalt","")</f>
        <v/>
      </c>
      <c r="E33" s="17" t="s">
        <v>18</v>
      </c>
      <c r="F33" s="85">
        <f>F23</f>
        <v>0</v>
      </c>
      <c r="G33" s="63">
        <f t="shared" si="8"/>
        <v>1</v>
      </c>
      <c r="H33" s="64">
        <f t="shared" si="9"/>
        <v>0</v>
      </c>
      <c r="I33" s="132" t="str">
        <f ca="1">OFFSET(L!$C$1,MATCH("Checker"&amp;"Comp",L!$A:$A,0)-1,SL,,)</f>
        <v>Vollständig</v>
      </c>
      <c r="J33" s="16" t="str">
        <f ca="1">OFFSET(L!$C$1,MATCH("Checker"&amp;ADDRESS(ROW(),COLUMN(),4),L!$A:$A,0)-1,SL,,)</f>
        <v>Geben Sie den Vollständigkeitsgrad der Schmelzhütteninformationen des Anbieters in Prozent in der Reiterzelle D50 der Erklärung an</v>
      </c>
    </row>
    <row r="34" spans="1:10" ht="25.7">
      <c r="A34" s="81" t="str">
        <f ca="1">Declaration!B51</f>
        <v>Glimmer</v>
      </c>
      <c r="B34" s="80">
        <f>Declaration!D51</f>
        <v>0</v>
      </c>
      <c r="C34" s="137" t="str">
        <f t="shared" ca="1" si="3"/>
        <v>Vollständig</v>
      </c>
      <c r="D34" s="86" t="str">
        <f>IF(H34=1,"Click here to answer question 5 for Mica","")</f>
        <v/>
      </c>
      <c r="E34" s="17" t="s">
        <v>18</v>
      </c>
      <c r="F34" s="85">
        <f>F24</f>
        <v>0</v>
      </c>
      <c r="G34" s="63">
        <f t="shared" si="8"/>
        <v>1</v>
      </c>
      <c r="H34" s="64">
        <f t="shared" si="9"/>
        <v>0</v>
      </c>
      <c r="I34" s="132" t="str">
        <f ca="1">OFFSET(L!$C$1,MATCH("Checker"&amp;"Comp",L!$A:$A,0)-1,SL,,)</f>
        <v>Vollständig</v>
      </c>
      <c r="J34" s="16" t="str">
        <f ca="1">OFFSET(L!$C$1,MATCH("Checker"&amp;ADDRESS(ROW(),COLUMN(),4),L!$A:$A,0)-1,SL,,)</f>
        <v>Geben Sie den Vollständigkeitsgrad der Schmelzhütteninformationen des Anbieters in Prozent in der Reiterzelle D51 der Erklärung an</v>
      </c>
    </row>
    <row r="35" spans="1:10" ht="25.7" hidden="1">
      <c r="A35" s="81">
        <f ca="1">Declaration!B52</f>
        <v>0</v>
      </c>
      <c r="B35" s="80">
        <f>Declaration!D52</f>
        <v>0</v>
      </c>
      <c r="C35" s="137" t="str">
        <f t="shared" ca="1" si="3"/>
        <v>Vollständig</v>
      </c>
      <c r="D35" s="86" t="str">
        <f>IF(H35=1,"Click here to answer question 5 for Gold","")</f>
        <v/>
      </c>
      <c r="E35" s="17" t="s">
        <v>18</v>
      </c>
      <c r="F35" s="85">
        <f>F25</f>
        <v>0</v>
      </c>
      <c r="G35" s="63">
        <f t="shared" si="8"/>
        <v>1</v>
      </c>
      <c r="H35" s="64">
        <f t="shared" si="9"/>
        <v>0</v>
      </c>
      <c r="I35" s="132" t="str">
        <f ca="1">OFFSET(L!$C$1,MATCH("Checker"&amp;"Comp",L!$A:$A,0)-1,SL,,)</f>
        <v>Vollständig</v>
      </c>
      <c r="J35" s="16" t="e">
        <f ca="1">OFFSET(L!$C$1,MATCH("Checker"&amp;ADDRESS(ROW(),COLUMN(),4),L!$A:$A,0)-1,SL,,)</f>
        <v>#N/A</v>
      </c>
    </row>
    <row r="36" spans="1:10" ht="25.7" hidden="1">
      <c r="A36" s="81">
        <f ca="1">Declaration!B53</f>
        <v>0</v>
      </c>
      <c r="B36" s="80">
        <f>Declaration!D53</f>
        <v>0</v>
      </c>
      <c r="C36" s="137" t="str">
        <f t="shared" ca="1" si="3"/>
        <v>Vollständig</v>
      </c>
      <c r="D36" s="86" t="str">
        <f>IF(H36=1,"Click here to answer question 5 for Tungsten","")</f>
        <v/>
      </c>
      <c r="E36" s="17" t="s">
        <v>18</v>
      </c>
      <c r="F36" s="85">
        <f>F26</f>
        <v>0</v>
      </c>
      <c r="G36" s="63">
        <f t="shared" si="8"/>
        <v>1</v>
      </c>
      <c r="H36" s="64">
        <f t="shared" si="9"/>
        <v>0</v>
      </c>
      <c r="I36" s="132" t="str">
        <f ca="1">OFFSET(L!$C$1,MATCH("Checker"&amp;"Comp",L!$A:$A,0)-1,SL,,)</f>
        <v>Vollständig</v>
      </c>
      <c r="J36" s="16" t="e">
        <f ca="1">OFFSET(L!$C$1,MATCH("Checker"&amp;ADDRESS(ROW(),COLUMN(),4),L!$A:$A,0)-1,SL,,)</f>
        <v>#N/A</v>
      </c>
    </row>
    <row r="37" spans="1:10" ht="49.35">
      <c r="A37" s="80" t="str">
        <f ca="1">Declaration!B55</f>
        <v>6) Kennen Sie alle Verhüttungsbetriebe oder Verarbeitungsunternehmen, die das Cobalt oder den natürlichen Glimmer für Ihre Lieferkette bereitstellen?</v>
      </c>
      <c r="B37" s="83"/>
      <c r="C37" s="83"/>
      <c r="D37" s="87"/>
      <c r="E37" s="17" t="s">
        <v>13</v>
      </c>
      <c r="F37" s="84"/>
    </row>
    <row r="38" spans="1:10" ht="50.35">
      <c r="A38" s="81" t="str">
        <f ca="1">Declaration!B56</f>
        <v>Cobalt</v>
      </c>
      <c r="B38" s="80">
        <f>Declaration!D56</f>
        <v>0</v>
      </c>
      <c r="C38" s="137" t="str">
        <f t="shared" ca="1" si="3"/>
        <v>Vollständig</v>
      </c>
      <c r="D38" s="232" t="str">
        <f>IF(H38=1,"Click here to answer question 6 for Cobalt","")</f>
        <v/>
      </c>
      <c r="E38" s="17" t="s">
        <v>13</v>
      </c>
      <c r="F38" s="85">
        <f>F23</f>
        <v>0</v>
      </c>
      <c r="G38" s="63">
        <f t="shared" si="8"/>
        <v>1</v>
      </c>
      <c r="H38" s="64">
        <f t="shared" si="9"/>
        <v>0</v>
      </c>
      <c r="I38" s="132" t="str">
        <f ca="1">OFFSET(L!$C$1,MATCH("Checker"&amp;"Comp",L!$A:$A,0)-1,SL,,)</f>
        <v>Vollständig</v>
      </c>
      <c r="J38" s="16" t="str">
        <f ca="1">OFFSET(L!$C$1,MATCH("Checker"&amp;ADDRESS(ROW(),COLUMN(),4),L!$A:$A,0)-1,SL,,)</f>
        <v xml:space="preserve">Geben Sie in der Reiterzelle D56 der Erklärung an, ob alle Schmelzhüttennamen in der Antwort auf diese Umfrage im Umfang der angegebenen Produkte zur Verfügung gestellt worden sind </v>
      </c>
    </row>
    <row r="39" spans="1:10" ht="50.35">
      <c r="A39" s="81" t="str">
        <f ca="1">Declaration!B57</f>
        <v>Glimmer</v>
      </c>
      <c r="B39" s="80">
        <f>Declaration!D57</f>
        <v>0</v>
      </c>
      <c r="C39" s="137" t="str">
        <f t="shared" ca="1" si="3"/>
        <v>Vollständig</v>
      </c>
      <c r="D39" s="88" t="str">
        <f>IF(H39=1,"Click here to answer question 6 for Mica","")</f>
        <v/>
      </c>
      <c r="E39" s="17" t="s">
        <v>13</v>
      </c>
      <c r="F39" s="85">
        <f>F24</f>
        <v>0</v>
      </c>
      <c r="G39" s="63">
        <f t="shared" si="8"/>
        <v>1</v>
      </c>
      <c r="H39" s="64">
        <f t="shared" si="9"/>
        <v>0</v>
      </c>
      <c r="I39" s="132" t="str">
        <f ca="1">OFFSET(L!$C$1,MATCH("Checker"&amp;"Comp",L!$A:$A,0)-1,SL,,)</f>
        <v>Vollständig</v>
      </c>
      <c r="J39" s="16" t="str">
        <f ca="1">OFFSET(L!$C$1,MATCH("Checker"&amp;ADDRESS(ROW(),COLUMN(),4),L!$A:$A,0)-1,SL,,)</f>
        <v xml:space="preserve">Geben Sie in der Reiterzelle D57 der Erklärung an, ob alle Schmelzhüttennamen in der Antwort auf diese Umfrage im Umfang der angegebenen Produkte zur Verfügung gestellt worden sind </v>
      </c>
    </row>
    <row r="40" spans="1:10" ht="50.35" hidden="1">
      <c r="A40" s="81">
        <f ca="1">Declaration!B58</f>
        <v>0</v>
      </c>
      <c r="B40" s="80">
        <f>Declaration!D58</f>
        <v>0</v>
      </c>
      <c r="C40" s="137" t="str">
        <f t="shared" ca="1" si="3"/>
        <v>Vollständig</v>
      </c>
      <c r="D40" s="88" t="str">
        <f>IF(H40=1,"Click here to answer question 6 for Gold","")</f>
        <v/>
      </c>
      <c r="E40" s="17" t="s">
        <v>13</v>
      </c>
      <c r="F40" s="85">
        <f>F25</f>
        <v>0</v>
      </c>
      <c r="G40" s="63">
        <f t="shared" si="8"/>
        <v>1</v>
      </c>
      <c r="H40" s="64">
        <f t="shared" si="9"/>
        <v>0</v>
      </c>
      <c r="I40" s="132" t="str">
        <f ca="1">OFFSET(L!$C$1,MATCH("Checker"&amp;"Comp",L!$A:$A,0)-1,SL,,)</f>
        <v>Vollständig</v>
      </c>
      <c r="J40" s="16" t="e">
        <f ca="1">OFFSET(L!$C$1,MATCH("Checker"&amp;ADDRESS(ROW(),COLUMN(),4),L!$A:$A,0)-1,SL,,)</f>
        <v>#N/A</v>
      </c>
    </row>
    <row r="41" spans="1:10" ht="50.35" hidden="1">
      <c r="A41" s="81">
        <f ca="1">Declaration!B59</f>
        <v>0</v>
      </c>
      <c r="B41" s="80">
        <f>Declaration!D59</f>
        <v>0</v>
      </c>
      <c r="C41" s="137" t="str">
        <f t="shared" ca="1" si="3"/>
        <v>Vollständig</v>
      </c>
      <c r="D41" s="88" t="str">
        <f>IF(H41=1,"Click here to answer question 6 for Tungsten","")</f>
        <v/>
      </c>
      <c r="E41" s="17" t="s">
        <v>13</v>
      </c>
      <c r="F41" s="85">
        <f>F26</f>
        <v>0</v>
      </c>
      <c r="G41" s="63">
        <f t="shared" si="8"/>
        <v>1</v>
      </c>
      <c r="H41" s="64">
        <f t="shared" si="9"/>
        <v>0</v>
      </c>
      <c r="I41" s="132" t="str">
        <f ca="1">OFFSET(L!$C$1,MATCH("Checker"&amp;"Comp",L!$A:$A,0)-1,SL,,)</f>
        <v>Vollständig</v>
      </c>
      <c r="J41" s="16" t="e">
        <f ca="1">OFFSET(L!$C$1,MATCH("Checker"&amp;ADDRESS(ROW(),COLUMN(),4),L!$A:$A,0)-1,SL,,)</f>
        <v>#N/A</v>
      </c>
    </row>
    <row r="42" spans="1:10" ht="61.7">
      <c r="A42" s="80" t="str">
        <f ca="1">Declaration!B61</f>
        <v>7) Sind alle anwendbaren Informationen über Verhüttungsbetriebe oder Verarbeitungsunternehmen, die Ihr Unternehmen erhalten hat, in dieser Erklärung genannt worden?</v>
      </c>
      <c r="B42" s="83"/>
      <c r="C42" s="83"/>
      <c r="D42" s="87"/>
      <c r="E42" s="17" t="s">
        <v>16</v>
      </c>
      <c r="F42" s="84"/>
    </row>
    <row r="43" spans="1:10" ht="38">
      <c r="A43" s="81" t="str">
        <f ca="1">Declaration!B62</f>
        <v>Cobalt</v>
      </c>
      <c r="B43" s="80">
        <f>Declaration!D62</f>
        <v>0</v>
      </c>
      <c r="C43" s="137" t="str">
        <f t="shared" ca="1" si="3"/>
        <v>Vollständig</v>
      </c>
      <c r="D43" s="232" t="str">
        <f>IF(H43=1,"Click here to answer question 7 for Cobalt","")</f>
        <v/>
      </c>
      <c r="E43" s="17" t="s">
        <v>15</v>
      </c>
      <c r="F43" s="85">
        <f>F23</f>
        <v>0</v>
      </c>
      <c r="G43" s="63">
        <f t="shared" si="8"/>
        <v>1</v>
      </c>
      <c r="H43" s="64">
        <f t="shared" si="9"/>
        <v>0</v>
      </c>
      <c r="I43" s="132" t="str">
        <f ca="1">OFFSET(L!$C$1,MATCH("Checker"&amp;"Comp",L!$A:$A,0)-1,SL,,)</f>
        <v>Vollständig</v>
      </c>
      <c r="J43" s="16" t="str">
        <f ca="1">OFFSET(L!$C$1,MATCH("Checker"&amp;ADDRESS(ROW(),COLUMN(),4),L!$A:$A,0)-1,SL,,)</f>
        <v>Geben Sie in der Reiterzelle D62 der Erklärung an, ob alle Informationen über Cobalt-Schmelzhütten zur Verfügung gestellt worden sind</v>
      </c>
    </row>
    <row r="44" spans="1:10" ht="38">
      <c r="A44" s="81" t="str">
        <f ca="1">Declaration!B63</f>
        <v>Glimmer</v>
      </c>
      <c r="B44" s="80">
        <f>Declaration!D63</f>
        <v>0</v>
      </c>
      <c r="C44" s="137" t="str">
        <f t="shared" ca="1" si="3"/>
        <v>Vollständig</v>
      </c>
      <c r="D44" s="89" t="str">
        <f>IF(H44=1,"Click here to answer question 7 for Mica","")</f>
        <v/>
      </c>
      <c r="E44" s="17" t="s">
        <v>15</v>
      </c>
      <c r="F44" s="85">
        <f>F24</f>
        <v>0</v>
      </c>
      <c r="G44" s="63">
        <f t="shared" si="8"/>
        <v>1</v>
      </c>
      <c r="H44" s="64">
        <f t="shared" si="9"/>
        <v>0</v>
      </c>
      <c r="I44" s="132" t="str">
        <f ca="1">OFFSET(L!$C$1,MATCH("Checker"&amp;"Comp",L!$A:$A,0)-1,SL,,)</f>
        <v>Vollständig</v>
      </c>
      <c r="J44" s="16" t="str">
        <f ca="1">OFFSET(L!$C$1,MATCH("Checker"&amp;ADDRESS(ROW(),COLUMN(),4),L!$A:$A,0)-1,SL,,)</f>
        <v>Geben Sie in der Reiterzelle D63 der Erklärung an, ob alle Informationen über Glimmerverarbeiter zur Verfügung gestellt worden sind</v>
      </c>
    </row>
    <row r="45" spans="1:10" ht="39" hidden="1" customHeight="1">
      <c r="A45" s="81">
        <f ca="1">Declaration!B64</f>
        <v>0</v>
      </c>
      <c r="B45" s="80">
        <f>Declaration!D64</f>
        <v>0</v>
      </c>
      <c r="C45" s="137" t="str">
        <f t="shared" ca="1" si="3"/>
        <v>Vollständig</v>
      </c>
      <c r="D45" s="89" t="str">
        <f>IF(H45=1,"Click here to answer question 7 for Gold","")</f>
        <v/>
      </c>
      <c r="E45" s="17" t="s">
        <v>15</v>
      </c>
      <c r="F45" s="85">
        <f>F25</f>
        <v>0</v>
      </c>
      <c r="G45" s="63">
        <f t="shared" si="8"/>
        <v>1</v>
      </c>
      <c r="H45" s="64">
        <f t="shared" si="9"/>
        <v>0</v>
      </c>
      <c r="I45" s="132" t="str">
        <f ca="1">OFFSET(L!$C$1,MATCH("Checker"&amp;"Comp",L!$A:$A,0)-1,SL,,)</f>
        <v>Vollständig</v>
      </c>
      <c r="J45" s="16" t="s">
        <v>56</v>
      </c>
    </row>
    <row r="46" spans="1:10" ht="39" hidden="1" customHeight="1">
      <c r="A46" s="81">
        <f ca="1">Declaration!B65</f>
        <v>0</v>
      </c>
      <c r="B46" s="80">
        <f>Declaration!D65</f>
        <v>0</v>
      </c>
      <c r="C46" s="137" t="str">
        <f t="shared" ca="1" si="3"/>
        <v>Vollständig</v>
      </c>
      <c r="D46" s="89" t="str">
        <f>IF(H46=1,"Click here to answer question 7 for Tungsten","")</f>
        <v/>
      </c>
      <c r="E46" s="17" t="s">
        <v>15</v>
      </c>
      <c r="F46" s="85">
        <f>F26</f>
        <v>0</v>
      </c>
      <c r="G46" s="63">
        <f t="shared" si="8"/>
        <v>1</v>
      </c>
      <c r="H46" s="64">
        <f t="shared" si="9"/>
        <v>0</v>
      </c>
      <c r="I46" s="132" t="str">
        <f ca="1">OFFSET(L!$C$1,MATCH("Checker"&amp;"Comp",L!$A:$A,0)-1,SL,,)</f>
        <v>Vollständig</v>
      </c>
    </row>
    <row r="47" spans="1:10" ht="24.7">
      <c r="A47" s="80" t="str">
        <f ca="1">Declaration!B68</f>
        <v>Frage</v>
      </c>
      <c r="B47" s="83"/>
      <c r="C47" s="83"/>
      <c r="D47" s="87"/>
      <c r="E47" s="17" t="s">
        <v>18</v>
      </c>
      <c r="F47" s="84"/>
      <c r="G47" s="84"/>
      <c r="H47" s="84"/>
    </row>
    <row r="48" spans="1:10" ht="38">
      <c r="A48" s="80" t="str">
        <f ca="1">Declaration!B69</f>
        <v>A. Haben Sie eine Richtlinie zur verantwortungsvollen Beschaffung von Mineralien aufgestellt?</v>
      </c>
      <c r="B48" s="80" t="str">
        <f>Declaration!D69</f>
        <v>Yes</v>
      </c>
      <c r="C48" s="137" t="str">
        <f t="shared" ca="1" si="3"/>
        <v>Vollständig</v>
      </c>
      <c r="D48" s="230" t="str">
        <f>IF(H48=1,"Click here to answer question (A)","")</f>
        <v/>
      </c>
      <c r="E48" s="17" t="s">
        <v>15</v>
      </c>
      <c r="F48" s="85">
        <f>IF(SUM(F$23:F$24)=0,0,1)</f>
        <v>0</v>
      </c>
      <c r="G48" s="63">
        <f t="shared" si="8"/>
        <v>0</v>
      </c>
      <c r="H48" s="64">
        <f t="shared" si="9"/>
        <v>0</v>
      </c>
      <c r="I48" s="132" t="str">
        <f ca="1">OFFSET(L!$C$1,MATCH("Checker"&amp;"Comp",L!$A:$A,0)-1,SL,,)</f>
        <v>Vollständig</v>
      </c>
      <c r="J48" s="16" t="str">
        <f ca="1">OFFSET(L!$C$1,MATCH("Checker"&amp;ADDRESS(ROW(),COLUMN(),4),L!$A:$A,0)-1,SL,,)</f>
        <v>Geben Sie in Zelle D69 der Erklärung an, ob Ihr Unternehmen Ihre Richtlinie zur konfliktfreien Mineralienbeschaffung auf seiner Website öffentlich verfügbar gemacht hat</v>
      </c>
    </row>
    <row r="49" spans="1:12" ht="49.35">
      <c r="A49" s="80" t="str">
        <f ca="1">Declaration!B71</f>
        <v>B. Ist Ihre Richtlinie zur verantwortungsvollen Beschaffung von Mineralien auf Ihrer Website einsehbar? (Hinweis – Bei „Ja“ hat der Benutzer die URL im Anmerkungsfeld anzugeben.)</v>
      </c>
      <c r="B49" s="80" t="str">
        <f>Declaration!D71</f>
        <v>Yes</v>
      </c>
      <c r="C49" s="137" t="str">
        <f ca="1">IF(H49=1,J49,I49)</f>
        <v>Vollständig</v>
      </c>
      <c r="D49" s="195" t="str">
        <f>IF(H49=1,"Click here to answer question (B)","")</f>
        <v/>
      </c>
      <c r="E49" s="17" t="s">
        <v>15</v>
      </c>
      <c r="F49" s="85">
        <f t="shared" ref="F49:F58" si="10">F$48</f>
        <v>0</v>
      </c>
      <c r="G49" s="63">
        <f t="shared" si="8"/>
        <v>0</v>
      </c>
      <c r="H49" s="64">
        <f t="shared" si="9"/>
        <v>0</v>
      </c>
      <c r="I49" s="132" t="str">
        <f ca="1">OFFSET(L!$C$1,MATCH("Checker"&amp;"Comp",L!$A:$A,0)-1,SL,,)</f>
        <v>Vollständig</v>
      </c>
      <c r="J49" s="16" t="str">
        <f ca="1">OFFSET(L!$C$1,MATCH("Checker"&amp;ADDRESS(ROW(),COLUMN(),4),L!$A:$A,0)-1,SL,,)</f>
        <v>Geben Sie in Zelle D71 der Erklärung an, ob Ihr Unternehmen Ihre Richtlinie zur konfliktfreien Mineralieneschaffung auf seiner Website öffentlich verfügbar gemacht hat</v>
      </c>
    </row>
    <row r="50" spans="1:12" ht="38">
      <c r="A50" s="80" t="s">
        <v>57</v>
      </c>
      <c r="B50" s="80" t="str">
        <f>Declaration!G71</f>
        <v>https://www.placetec.ch/de/firma/downloads.html</v>
      </c>
      <c r="C50" s="80" t="str">
        <f ca="1">IF(H50=1,J50,I50)</f>
        <v>Vollständig</v>
      </c>
      <c r="D50" s="206" t="str">
        <f>IF(H50=1,"Click here to answer question (C)","")</f>
        <v/>
      </c>
      <c r="E50" s="17" t="s">
        <v>15</v>
      </c>
      <c r="F50" s="85">
        <f>IF(AND(F49=1,B49="Yes"),1,0)</f>
        <v>0</v>
      </c>
      <c r="G50" s="63">
        <f>IF(LEN(B50)&gt;1,0,1)</f>
        <v>0</v>
      </c>
      <c r="H50" s="64">
        <f>F50*G50</f>
        <v>0</v>
      </c>
      <c r="I50" s="132" t="str">
        <f ca="1">OFFSET(L!$C$1,MATCH("Checker"&amp;"Comp",L!$A:$A,0)-1,SL,,)</f>
        <v>Vollständig</v>
      </c>
      <c r="J50" s="16" t="str">
        <f ca="1">OFFSET(L!$C$1,MATCH("Checker"&amp;ADDRESS(ROW(),COLUMN(),4),L!$A:$A,0)-1,SL,,)</f>
        <v xml:space="preserve">Geben Sie in der Arbeitsblattzelle G71 der Erklärung den URL an, falls Sie Frage B mit „Ja“ beantworten. Das Format des URL sollte „www.companyname.com“ entsprechen </v>
      </c>
    </row>
    <row r="51" spans="1:12" ht="67.5" customHeight="1">
      <c r="A51" s="80" t="str">
        <f ca="1">Declaration!B73</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Vollständig</v>
      </c>
      <c r="D52" s="195" t="str">
        <f>IF(H52=1,"Click here to answer question (C)","")</f>
        <v/>
      </c>
      <c r="E52" s="17"/>
      <c r="F52" s="85">
        <f>F23*F$48</f>
        <v>0</v>
      </c>
      <c r="G52" s="63">
        <f t="shared" si="8"/>
        <v>1</v>
      </c>
      <c r="H52" s="64">
        <f t="shared" si="9"/>
        <v>0</v>
      </c>
      <c r="I52" s="132" t="str">
        <f ca="1">OFFSET(L!$C$1,MATCH("Checker"&amp;"Comp",L!$A:$A,0)-1,SL,,)</f>
        <v>Vollständig</v>
      </c>
      <c r="J52" s="16" t="str">
        <f ca="1">OFFSET(L!$C$1,MATCH("Checker"&amp;ADDRESS(ROW(),COLUMN(),4),L!$A:$A,0)-1,SL,,)</f>
        <v>Geben Sie in Zelle D74 der Erklärung an, ob Sie von Ihren direkten Lieferanten verlangen Cobalt, bei Schmelzhütten einzukaufen, deren Due-Diligence-Praktiken von unabhängigen Prüfungsprogramm Dritter überprüft worden sind</v>
      </c>
    </row>
    <row r="53" spans="1:12" ht="15">
      <c r="A53" s="80" t="str">
        <f ca="1">Declaration!B75</f>
        <v>Glimmer</v>
      </c>
      <c r="B53" s="80">
        <f>Declaration!D75</f>
        <v>0</v>
      </c>
      <c r="C53" s="137" t="str">
        <f t="shared" ca="1" si="3"/>
        <v>Vollständig</v>
      </c>
      <c r="D53" s="195" t="str">
        <f>IF(H53=1,"Click here to answer question (C)","")</f>
        <v/>
      </c>
      <c r="E53" s="17"/>
      <c r="F53" s="85">
        <f>F24*F$48</f>
        <v>0</v>
      </c>
      <c r="G53" s="63">
        <f t="shared" si="8"/>
        <v>1</v>
      </c>
      <c r="H53" s="64">
        <f t="shared" si="9"/>
        <v>0</v>
      </c>
      <c r="I53" s="132" t="str">
        <f ca="1">OFFSET(L!$C$1,MATCH("Checker"&amp;"Comp",L!$A:$A,0)-1,SL,,)</f>
        <v>Vollständig</v>
      </c>
      <c r="J53" s="16" t="str">
        <f ca="1">OFFSET(L!$C$1,MATCH("Checker"&amp;ADDRESS(ROW(),COLUMN(),4),L!$A:$A,0)-1,SL,,)</f>
        <v>Geben Sie in Zelle D74 der Erklärung an, ob Sie von Ihren direkten Lieferanten verlangen Glimmer, bei Schmelzhütten einzukaufen, deren Due-Diligence-Praktiken von unabhängigen Prüfungsprogramm Dritter überprüft worden sind</v>
      </c>
    </row>
    <row r="54" spans="1:12" ht="38">
      <c r="A54" s="80" t="str">
        <f ca="1">Declaration!B77</f>
        <v>D. Haben Sie Sorgfaltspflichtmaßnahmen für verantwortungsvolle Beschaffung in Kraft gesetzt?</v>
      </c>
      <c r="B54" s="80" t="str">
        <f>Declaration!D77</f>
        <v>Yes</v>
      </c>
      <c r="C54" s="137" t="str">
        <f ca="1">IF(H54=1,J54,I54)</f>
        <v>Vollständig</v>
      </c>
      <c r="D54" s="195" t="str">
        <f>IF(H54=1,"Click here to answer question (D)","")</f>
        <v/>
      </c>
      <c r="E54" s="17" t="s">
        <v>15</v>
      </c>
      <c r="F54" s="85">
        <f t="shared" si="10"/>
        <v>0</v>
      </c>
      <c r="G54" s="63">
        <f t="shared" si="8"/>
        <v>0</v>
      </c>
      <c r="H54" s="64">
        <f t="shared" si="9"/>
        <v>0</v>
      </c>
      <c r="I54" s="132" t="str">
        <f ca="1">OFFSET(L!$C$1,MATCH("Checker"&amp;"Comp",L!$A:$A,0)-1,SL,,)</f>
        <v>Vollständig</v>
      </c>
      <c r="J54" s="16" t="str">
        <f ca="1">OFFSET(L!$C$1,MATCH("Checker"&amp;ADDRESS(ROW(),COLUMN(),4),L!$A:$A,0)-1,SL,,)</f>
        <v>Geben Sie in der Reiterzelle D77 der Erklärung an, ob Sie von Ihren Lieferanten Namen von Schmelzhütten verlangen</v>
      </c>
    </row>
    <row r="55" spans="1:12" ht="38">
      <c r="A55" s="80" t="str">
        <f ca="1">Declaration!B79</f>
        <v>E. Führt Ihr Unternehmen Lieferkettenumfragen bei Ihren relevanten Lieferanten zu Cobalt bzw. natürlichen Glimmer durch?</v>
      </c>
      <c r="B55" s="80" t="str">
        <f>IF(Declaration!D79="No",Declaration!D79,IF(Declaration!D79="Yes, in conformance with IPC1755 (e.g. EMRT)",Declaration!D79,IF(Declaration!D79="Yes, Using Other Format (Describe)",Declaration!G79,0)))</f>
        <v>No</v>
      </c>
      <c r="C55" s="137" t="str">
        <f t="shared" ca="1" si="3"/>
        <v>Vollständig</v>
      </c>
      <c r="D55" s="195" t="str">
        <f>IF(H55=1,"Click here to answer question (E)","")</f>
        <v/>
      </c>
      <c r="E55" s="17" t="s">
        <v>15</v>
      </c>
      <c r="F55" s="85">
        <f t="shared" si="10"/>
        <v>0</v>
      </c>
      <c r="G55" s="63">
        <f>IF(B55=0,1,0)</f>
        <v>0</v>
      </c>
      <c r="H55" s="64">
        <f t="shared" si="9"/>
        <v>0</v>
      </c>
      <c r="I55" s="132" t="str">
        <f ca="1">OFFSET(L!$C$1,MATCH("Checker"&amp;"Comp",L!$A:$A,0)-1,SL,,)</f>
        <v>Vollständig</v>
      </c>
      <c r="J55" s="16" t="str">
        <f ca="1">OFFSET(L!$C$1,MATCH("Checker"&amp;ADDRESS(ROW(),COLUMN(),4),L!$A:$A,0)-1,SL,,)</f>
        <v>Geben Sie in der Reiterzelle D79 der Erklärung an, ob Sie Umfragen zur Lieferkette zu Kobalt oder natürlicher Glimmer durchführen</v>
      </c>
    </row>
    <row r="56" spans="1:12" ht="38.25" hidden="1" customHeight="1">
      <c r="A56" s="80"/>
      <c r="B56" s="80"/>
      <c r="C56" s="137"/>
      <c r="D56" s="86"/>
      <c r="E56" s="17"/>
      <c r="F56" s="85"/>
      <c r="G56" s="63"/>
      <c r="H56" s="64"/>
      <c r="I56" s="132"/>
    </row>
    <row r="57" spans="1:12" ht="38">
      <c r="A57" s="80" t="str">
        <f ca="1">Declaration!B81</f>
        <v>F. Prüfen Sie die Sorgfaltspflichtangaben, die Sie von Ihren Lieferanten erhalten, gegen die Erwartungen Ihres Unternehmens?</v>
      </c>
      <c r="B57" s="80" t="str">
        <f>Declaration!D81</f>
        <v>No</v>
      </c>
      <c r="C57" s="137" t="str">
        <f ca="1">IF(H57=1,J57,I57)</f>
        <v>Vollständig</v>
      </c>
      <c r="D57" s="195" t="str">
        <f>IF(H57=1,"Click here to answer question (F)","")</f>
        <v/>
      </c>
      <c r="E57" s="17" t="s">
        <v>15</v>
      </c>
      <c r="F57" s="85">
        <f t="shared" si="10"/>
        <v>0</v>
      </c>
      <c r="G57" s="63">
        <f>IF(B57=0,1,0)</f>
        <v>0</v>
      </c>
      <c r="H57" s="64">
        <f t="shared" si="9"/>
        <v>0</v>
      </c>
      <c r="I57" s="132" t="str">
        <f ca="1">OFFSET(L!$C$1,MATCH("Checker"&amp;"Comp",L!$A:$A,0)-1,SL,,)</f>
        <v>Vollständig</v>
      </c>
      <c r="J57" s="16" t="str">
        <f ca="1">OFFSET(L!$C$1,MATCH("Checker"&amp;ADDRESS(ROW(),COLUMN(),4),L!$A:$A,0)-1,SL,,)</f>
        <v>Geben Sie in der Reiterzelle D81 der Erklärung an, ob Sie Antworten der Lieferanten auf die Anforderungen Ihres Unternehmens überprüfen</v>
      </c>
    </row>
    <row r="58" spans="1:12" ht="38">
      <c r="A58" s="80" t="str">
        <f ca="1">Declaration!B83</f>
        <v>G. Umfasst Ihr Prüfverfahren die Überwachung von Abhilfemaßnahmen?</v>
      </c>
      <c r="B58" s="80" t="str">
        <f>Declaration!D83</f>
        <v>No</v>
      </c>
      <c r="C58" s="137" t="str">
        <f t="shared" ca="1" si="3"/>
        <v>Vollständig</v>
      </c>
      <c r="D58" s="195" t="str">
        <f>IF(H58=1,"Click here to answer question (G)","")</f>
        <v/>
      </c>
      <c r="E58" s="17" t="s">
        <v>15</v>
      </c>
      <c r="F58" s="85">
        <f t="shared" si="10"/>
        <v>0</v>
      </c>
      <c r="G58" s="63">
        <f t="shared" si="8"/>
        <v>0</v>
      </c>
      <c r="H58" s="64">
        <f t="shared" si="9"/>
        <v>0</v>
      </c>
      <c r="I58" s="132" t="str">
        <f ca="1">OFFSET(L!$C$1,MATCH("Checker"&amp;"Comp",L!$A:$A,0)-1,SL,,)</f>
        <v>Vollständig</v>
      </c>
      <c r="J58" s="16" t="str">
        <f ca="1">OFFSET(L!$C$1,MATCH("Checker"&amp;ADDRESS(ROW(),COLUMN(),4),L!$A:$A,0)-1,SL,,)</f>
        <v>Geben Sie in der Reiterzelle D83 der Erklärung an, ob Ihr Prüfungsverfahren ein Abhilfemaßnahmen-Management umfasst</v>
      </c>
    </row>
    <row r="59" spans="1:12" ht="38">
      <c r="A59" s="81" t="s">
        <v>58</v>
      </c>
      <c r="B59" s="80" t="str">
        <f>IF(G59=1,"No products or item numbers listed","One or more product / item numbers have been provided")</f>
        <v>No products or item numbers listed</v>
      </c>
      <c r="C59" s="80" t="str">
        <f ca="1">IF(H59=1,J59,I59)</f>
        <v>Vollständig</v>
      </c>
      <c r="D59" s="195" t="str">
        <f>IF(H59=1,"Click here to enter detail on Product List tab","")</f>
        <v/>
      </c>
      <c r="E59" s="17" t="s">
        <v>15</v>
      </c>
      <c r="F59" s="85">
        <f>IF(B5=Declaration!Q9,1,0)</f>
        <v>0</v>
      </c>
      <c r="G59" s="63">
        <f>IF('Product List'!B6="",1,0)</f>
        <v>1</v>
      </c>
      <c r="H59" s="64">
        <f>F59*G59</f>
        <v>0</v>
      </c>
      <c r="I59" s="132" t="str">
        <f ca="1">OFFSET(L!$C$1,MATCH("Checker"&amp;"Comp",L!$A:$A,0)-1,SL,,)</f>
        <v>Vollständig</v>
      </c>
      <c r="J59" s="16">
        <f ca="1">OFFSET(L!$C$1,MATCH("Checker"&amp;ADDRESS(ROW(),COLUMN(),4),L!$A:$A,0)-1,SL,,)</f>
        <v>0</v>
      </c>
    </row>
    <row r="60" spans="1:12" ht="38">
      <c r="A60" s="136" t="s">
        <v>59</v>
      </c>
      <c r="B60" s="80"/>
      <c r="C60" s="137" t="str">
        <f ca="1">IF(H60=1,J60,I60)</f>
        <v>Vollständig</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Vollständig</v>
      </c>
      <c r="J60" s="16" t="str">
        <f ca="1">OFFSET(L!$C$1,MATCH("Checker"&amp;ADDRESS(ROW(),COLUMN(),4),L!$A:$A,0)-1,SL,,)</f>
        <v xml:space="preserve">Geben Sie im Reiter „Smelter List“ eine Liste von Cobalt-Schmelzhütten ein, die Material für die Lieferkette beitragen  </v>
      </c>
      <c r="K60" s="135">
        <f>IF(H15&gt;0,1,0)</f>
        <v>0</v>
      </c>
      <c r="L60" s="16" t="e">
        <f ca="1">OFFSET(L!$C$1,MATCH("Checker"&amp;ADDRESS(ROW(),COLUMN(),4),L!$A:$A,0)-1,SL,,)</f>
        <v>#N/A</v>
      </c>
    </row>
    <row r="61" spans="1:12" ht="38">
      <c r="A61" s="136" t="s">
        <v>60</v>
      </c>
      <c r="B61" s="80"/>
      <c r="C61" s="137" t="str">
        <f ca="1">IF(H61=1,J61,I61)</f>
        <v>Vollständig</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Vollständig</v>
      </c>
      <c r="J61" s="16" t="str">
        <f ca="1">OFFSET(L!$C$1,MATCH("Checker"&amp;ADDRESS(ROW(),COLUMN(),4),L!$A:$A,0)-1,SL,,)</f>
        <v xml:space="preserve">Geben Sie im Reiter „Smelter List“ eine Liste von Glimmerverarbeiter ein, die Material für die Lieferkette beitragen  </v>
      </c>
      <c r="K61" s="135">
        <f>IF(H16&gt;0,1,0)</f>
        <v>0</v>
      </c>
      <c r="L61" s="16" t="e">
        <f ca="1">OFFSET(L!$C$1,MATCH("Checker"&amp;ADDRESS(ROW(),COLUMN(),4),L!$A:$A,0)-1,SL,,)</f>
        <v>#N/A</v>
      </c>
    </row>
    <row r="62" spans="1:12" ht="41.2" hidden="1" customHeight="1">
      <c r="A62" s="81"/>
      <c r="B62" s="80"/>
      <c r="C62" s="80"/>
      <c r="D62" s="86"/>
      <c r="E62" s="17" t="s">
        <v>15</v>
      </c>
      <c r="F62" s="85"/>
      <c r="G62" s="63"/>
      <c r="H62" s="64"/>
      <c r="I62" s="132" t="str">
        <f ca="1">OFFSET(L!$C$1,MATCH("Checker"&amp;"Comp",L!$A:$A,0)-1,SL,,)</f>
        <v>Vollständig</v>
      </c>
      <c r="K62" s="135"/>
    </row>
    <row r="63" spans="1:12" ht="41.2" hidden="1" customHeight="1">
      <c r="A63" s="81"/>
      <c r="B63" s="80"/>
      <c r="C63" s="80"/>
      <c r="D63" s="86"/>
      <c r="E63" s="17" t="s">
        <v>15</v>
      </c>
      <c r="F63" s="85"/>
      <c r="G63" s="63"/>
      <c r="H63" s="64"/>
      <c r="I63" s="132" t="str">
        <f ca="1">OFFSET(L!$C$1,MATCH("Checker"&amp;"Comp",L!$A:$A,0)-1,SL,,)</f>
        <v>Vollständig</v>
      </c>
      <c r="K63" s="135"/>
    </row>
    <row r="64" spans="1:12" ht="24.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Vollständig</v>
      </c>
      <c r="J64" s="16" t="s">
        <v>62</v>
      </c>
      <c r="K64" s="135"/>
      <c r="L64" s="16" t="s">
        <v>63</v>
      </c>
    </row>
    <row r="65" spans="8:8">
      <c r="H65" s="16">
        <f ca="1">SUM(H4:H64)</f>
        <v>0</v>
      </c>
    </row>
    <row r="68" spans="8:8" ht="12.7"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9453125" defaultRowHeight="12.35"/>
  <cols>
    <col min="1" max="1" width="3.05078125" style="16" customWidth="1"/>
    <col min="2" max="2" width="39.89453125" style="92" customWidth="1"/>
    <col min="3" max="3" width="39.89453125" style="16" customWidth="1"/>
    <col min="4" max="4" width="58.89453125" style="16" customWidth="1"/>
    <col min="5" max="5" width="1.68359375" style="16" customWidth="1"/>
    <col min="6" max="6" width="71.89453125" customWidth="1"/>
    <col min="7" max="35" width="9" customWidth="1"/>
    <col min="36" max="16384" width="8.89453125" style="18"/>
  </cols>
  <sheetData>
    <row r="1" spans="1:35" ht="34.5" customHeight="1" thickTop="1">
      <c r="A1" s="400" t="str">
        <f ca="1">OFFSET(L!$C$1,MATCH("Product List"&amp;ADDRESS(ROW(),COLUMN(),4),L!$A:$A,0)-1,SL,,)</f>
        <v>Abschluss nur erforderlich, wenn die Ebene "Produkt (oder eine Liste von Produkten)" auf der "Erklärung" Arbeitsblatt ausgewählt wurde</v>
      </c>
      <c r="B1" s="401"/>
      <c r="C1" s="401"/>
      <c r="D1" s="401"/>
      <c r="E1" s="108"/>
    </row>
    <row r="2" spans="1:35" ht="12.7">
      <c r="A2" s="20"/>
      <c r="B2" s="110"/>
      <c r="C2" s="110"/>
      <c r="D2"/>
      <c r="E2" s="21"/>
    </row>
    <row r="3" spans="1:35" ht="12.7">
      <c r="A3" s="20"/>
      <c r="B3" s="110"/>
      <c r="C3" s="110"/>
      <c r="D3" s="110"/>
      <c r="E3" s="21"/>
    </row>
    <row r="4" spans="1:35" ht="15.75" customHeight="1">
      <c r="A4" s="20"/>
      <c r="B4" s="399" t="s">
        <v>50</v>
      </c>
      <c r="C4" s="399"/>
      <c r="D4" s="399"/>
      <c r="E4" s="21"/>
    </row>
    <row r="5" spans="1:35" ht="15">
      <c r="A5" s="122"/>
      <c r="B5" s="124" t="str">
        <f ca="1">OFFSET(L!$C$1,MATCH("Product List"&amp;ADDRESS(ROW(),COLUMN(),4),L!$A:$A,0)-1,SL,,)</f>
        <v>Produkt- oder Artikelnummer (*)</v>
      </c>
      <c r="C5" s="124" t="str">
        <f ca="1">OFFSET(L!$C$1,MATCH("Product List"&amp;ADDRESS(ROW(),COLUMN(),4),L!$A:$A,0)-1,SL,,)</f>
        <v>Produkt- oder Artikelbeschreibung</v>
      </c>
      <c r="D5" s="65" t="str">
        <f ca="1">OFFSET(L!$C$1,MATCH("Product List"&amp;ADDRESS(ROW(),COLUMN(),4),L!$A:$A,0)-1,SL,,)</f>
        <v>Kommentare</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2.7"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9453125" defaultRowHeight="12.35"/>
  <cols>
    <col min="1" max="1" width="9.05078125" style="157" bestFit="1" customWidth="1"/>
    <col min="2" max="2" width="42.89453125" style="157" customWidth="1"/>
    <col min="3" max="3" width="40.05078125" style="157" customWidth="1"/>
    <col min="4" max="4" width="22.89453125" style="157" customWidth="1"/>
    <col min="5" max="5" width="12.68359375" style="157" customWidth="1"/>
    <col min="6" max="6" width="12.68359375" style="158" customWidth="1"/>
    <col min="7" max="7" width="15.20703125" style="157" customWidth="1"/>
    <col min="8" max="8" width="23.89453125" style="157" customWidth="1"/>
    <col min="9" max="9" width="28.05078125" style="157" customWidth="1"/>
    <col min="10" max="10" width="38.68359375" style="157" hidden="1" customWidth="1"/>
    <col min="11" max="11" width="24.05078125" style="157" hidden="1" customWidth="1"/>
    <col min="12" max="12" width="17.47265625" style="157" customWidth="1"/>
    <col min="13" max="13" width="16.05078125" style="157" customWidth="1"/>
    <col min="14" max="16384" width="8.89453125" style="157"/>
  </cols>
  <sheetData>
    <row r="1" spans="1:13" ht="180" customHeight="1">
      <c r="A1" s="403"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Metall</v>
      </c>
      <c r="B4" s="159" t="str">
        <f ca="1">OFFSET(L!$C$1,MATCH("Smelter Look-up"&amp;ADDRESS(ROW(),COLUMN(),4),L!$A:$A,0)-1,SL,,)</f>
        <v>Schmelzhüttensuche (*)</v>
      </c>
      <c r="C4" s="159" t="str">
        <f ca="1">OFFSET(L!$C$1,MATCH("Smelter Look-up"&amp;ADDRESS(ROW(),COLUMN(),4),L!$A:$A,0)-1,SL,,)</f>
        <v>Standard Schmelzhütten Namen</v>
      </c>
      <c r="D4" s="159" t="str">
        <f ca="1">OFFSET(L!$C$1,MATCH("Smelter Look-up"&amp;ADDRESS(ROW(),COLUMN(),4),L!$A:$A,0)-1,SL,,)</f>
        <v>Schmelzhütte: Land</v>
      </c>
      <c r="E4" s="159" t="str">
        <f ca="1">OFFSET(L!$C$1,MATCH("Smelter Look-up"&amp;ADDRESS(ROW(),COLUMN(),4),L!$A:$A,0)-1,SL,,)</f>
        <v>Schmelzhütten-ID</v>
      </c>
      <c r="F4" s="159" t="str">
        <f ca="1">OFFSET(L!$C$1,MATCH("Smelter Look-up"&amp;ADDRESS(ROW(),COLUMN(),4),L!$A:$A,0)-1,SL,,)</f>
        <v>Quelle der Schmelzhütte Id-Nummer</v>
      </c>
      <c r="G4" s="159" t="str">
        <f ca="1">OFFSET(L!$C$1,MATCH("Smelter Look-up"&amp;ADDRESS(ROW(),COLUMN(),4),L!$A:$A,0)-1,SL,,)</f>
        <v>Schmelzhütten: Straße</v>
      </c>
      <c r="H4" s="159" t="str">
        <f ca="1">OFFSET(L!$C$1,MATCH("Smelter Look-up"&amp;ADDRESS(ROW(),COLUMN(),4),L!$A:$A,0)-1,SL,,)</f>
        <v>Schmelzhütten: Stadt</v>
      </c>
      <c r="I4" s="159" t="str">
        <f ca="1">OFFSET(L!$C$1,MATCH("Smelter Look-up"&amp;ADDRESS(ROW(),COLUMN(),4),L!$A:$A,0)-1,SL,,)</f>
        <v>Schmelzhütten: Bundesland/Provinz</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8359375" defaultRowHeight="14.35"/>
  <cols>
    <col min="1" max="1" width="14.68359375" style="127" customWidth="1"/>
    <col min="2" max="2" width="14" style="127" customWidth="1"/>
    <col min="3" max="3" width="6.05078125" style="127" customWidth="1"/>
    <col min="4" max="4" width="50.89453125" style="127" customWidth="1"/>
    <col min="5" max="5" width="45.89453125" style="245" customWidth="1"/>
    <col min="6" max="6" width="61.62890625" style="246" customWidth="1"/>
    <col min="7" max="7" width="61.62890625" style="127" customWidth="1"/>
    <col min="8" max="8" width="65.62890625" style="144" customWidth="1"/>
    <col min="9" max="9" width="51.5234375" style="189" customWidth="1"/>
    <col min="10" max="16384" width="8.68359375" style="189"/>
  </cols>
  <sheetData>
    <row r="1" spans="1:9">
      <c r="B1" s="127" t="s">
        <v>374</v>
      </c>
      <c r="C1" s="127" t="s">
        <v>375</v>
      </c>
      <c r="D1" s="127" t="s">
        <v>17</v>
      </c>
      <c r="E1" s="245" t="s">
        <v>376</v>
      </c>
      <c r="F1" s="246" t="s">
        <v>377</v>
      </c>
      <c r="G1" s="127" t="s">
        <v>378</v>
      </c>
      <c r="H1" s="297" t="s">
        <v>379</v>
      </c>
      <c r="I1" s="189" t="s">
        <v>18961</v>
      </c>
    </row>
    <row r="2" spans="1:9" ht="41.7">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
      <c r="A9" s="127" t="str">
        <f t="shared" si="0"/>
        <v>InstructionsA9</v>
      </c>
      <c r="B9" s="127" t="s">
        <v>380</v>
      </c>
      <c r="C9" s="127" t="s">
        <v>419</v>
      </c>
      <c r="D9" s="127" t="s">
        <v>420</v>
      </c>
      <c r="E9" s="245" t="s">
        <v>421</v>
      </c>
      <c r="F9" s="246" t="s">
        <v>422</v>
      </c>
      <c r="G9" s="127" t="s">
        <v>423</v>
      </c>
      <c r="H9" s="297" t="s">
        <v>424</v>
      </c>
      <c r="I9" s="127" t="s">
        <v>18967</v>
      </c>
    </row>
    <row r="10" spans="1:9" ht="39">
      <c r="A10" s="127" t="str">
        <f>B10&amp;C10</f>
        <v>InstructionsA10</v>
      </c>
      <c r="B10" s="127" t="s">
        <v>380</v>
      </c>
      <c r="C10" s="127" t="s">
        <v>425</v>
      </c>
      <c r="D10" s="127" t="s">
        <v>426</v>
      </c>
      <c r="E10" s="245" t="s">
        <v>427</v>
      </c>
      <c r="F10" s="246" t="s">
        <v>428</v>
      </c>
      <c r="G10" s="127" t="s">
        <v>429</v>
      </c>
      <c r="H10" s="297" t="s">
        <v>430</v>
      </c>
      <c r="I10" s="127" t="s">
        <v>18968</v>
      </c>
    </row>
    <row r="11" spans="1:9" ht="43">
      <c r="A11" s="127" t="str">
        <f t="shared" si="0"/>
        <v>InstructionsA11</v>
      </c>
      <c r="B11" s="127" t="s">
        <v>380</v>
      </c>
      <c r="C11" s="127" t="s">
        <v>431</v>
      </c>
      <c r="D11" s="127" t="s">
        <v>432</v>
      </c>
      <c r="E11" s="223" t="s">
        <v>433</v>
      </c>
      <c r="F11" s="248" t="s">
        <v>434</v>
      </c>
      <c r="G11" s="127" t="s">
        <v>435</v>
      </c>
      <c r="H11" s="297" t="s">
        <v>436</v>
      </c>
      <c r="I11" s="127" t="s">
        <v>18969</v>
      </c>
    </row>
    <row r="12" spans="1:9" ht="41">
      <c r="A12" s="127" t="str">
        <f t="shared" si="0"/>
        <v>InstructionsA12</v>
      </c>
      <c r="B12" s="127" t="s">
        <v>380</v>
      </c>
      <c r="C12" s="127" t="s">
        <v>437</v>
      </c>
      <c r="D12" s="127" t="s">
        <v>438</v>
      </c>
      <c r="E12" s="245" t="s">
        <v>439</v>
      </c>
      <c r="F12" s="246" t="s">
        <v>440</v>
      </c>
      <c r="G12" s="127" t="s">
        <v>441</v>
      </c>
      <c r="H12" s="297" t="s">
        <v>442</v>
      </c>
      <c r="I12" s="127" t="s">
        <v>18970</v>
      </c>
    </row>
    <row r="13" spans="1:9" ht="68.349999999999994">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
      <c r="A15" s="127" t="str">
        <f t="shared" si="0"/>
        <v>InstructionsA15</v>
      </c>
      <c r="B15" s="127" t="s">
        <v>380</v>
      </c>
      <c r="C15" s="127" t="s">
        <v>455</v>
      </c>
      <c r="D15" s="127" t="s">
        <v>456</v>
      </c>
      <c r="E15" s="245" t="s">
        <v>457</v>
      </c>
      <c r="F15" s="246" t="s">
        <v>458</v>
      </c>
      <c r="G15" s="127" t="s">
        <v>459</v>
      </c>
      <c r="H15" s="297" t="s">
        <v>460</v>
      </c>
      <c r="I15" s="127" t="s">
        <v>18973</v>
      </c>
    </row>
    <row r="16" spans="1:9" ht="27.35">
      <c r="A16" s="127" t="str">
        <f t="shared" si="0"/>
        <v>InstructionsA16</v>
      </c>
      <c r="B16" s="127" t="s">
        <v>380</v>
      </c>
      <c r="C16" s="127" t="s">
        <v>461</v>
      </c>
      <c r="D16" s="127" t="s">
        <v>462</v>
      </c>
      <c r="E16" s="223" t="s">
        <v>463</v>
      </c>
      <c r="F16" s="248" t="s">
        <v>464</v>
      </c>
      <c r="G16" s="127" t="s">
        <v>465</v>
      </c>
      <c r="H16" s="297" t="s">
        <v>466</v>
      </c>
      <c r="I16" s="127" t="s">
        <v>18974</v>
      </c>
    </row>
    <row r="17" spans="1:9" ht="68.349999999999994">
      <c r="A17" s="127" t="str">
        <f t="shared" si="0"/>
        <v>InstructionsA17</v>
      </c>
      <c r="B17" s="127" t="s">
        <v>380</v>
      </c>
      <c r="C17" s="127" t="s">
        <v>467</v>
      </c>
      <c r="D17" s="127" t="s">
        <v>468</v>
      </c>
      <c r="E17" s="245" t="s">
        <v>469</v>
      </c>
      <c r="F17" s="246" t="s">
        <v>470</v>
      </c>
      <c r="G17" s="127" t="s">
        <v>471</v>
      </c>
      <c r="H17" s="297" t="s">
        <v>472</v>
      </c>
      <c r="I17" s="127" t="s">
        <v>18975</v>
      </c>
    </row>
    <row r="18" spans="1:9" ht="41">
      <c r="A18" s="127" t="str">
        <f>B18&amp;C18</f>
        <v>InstructionsA18</v>
      </c>
      <c r="B18" s="127" t="s">
        <v>380</v>
      </c>
      <c r="C18" s="127" t="s">
        <v>473</v>
      </c>
      <c r="D18" s="127" t="s">
        <v>474</v>
      </c>
      <c r="E18" s="127" t="s">
        <v>475</v>
      </c>
      <c r="F18" s="248" t="s">
        <v>476</v>
      </c>
      <c r="G18" s="127" t="s">
        <v>477</v>
      </c>
      <c r="H18" s="297" t="s">
        <v>478</v>
      </c>
      <c r="I18" s="127" t="s">
        <v>18976</v>
      </c>
    </row>
    <row r="19" spans="1:9" ht="41">
      <c r="A19" s="127" t="str">
        <f t="shared" si="0"/>
        <v>InstructionsA19</v>
      </c>
      <c r="B19" s="127" t="s">
        <v>380</v>
      </c>
      <c r="C19" s="127" t="s">
        <v>479</v>
      </c>
      <c r="D19" s="127" t="s">
        <v>480</v>
      </c>
      <c r="E19" s="245" t="s">
        <v>481</v>
      </c>
      <c r="F19" s="246" t="s">
        <v>482</v>
      </c>
      <c r="G19" s="127" t="s">
        <v>483</v>
      </c>
      <c r="H19" s="300" t="s">
        <v>484</v>
      </c>
      <c r="I19" s="127" t="s">
        <v>18977</v>
      </c>
    </row>
    <row r="20" spans="1:9" ht="41">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3">
      <c r="A22" s="127" t="str">
        <f t="shared" si="0"/>
        <v>InstructionsA23</v>
      </c>
      <c r="B22" s="127" t="s">
        <v>380</v>
      </c>
      <c r="C22" s="127" t="s">
        <v>497</v>
      </c>
      <c r="D22" s="127" t="s">
        <v>498</v>
      </c>
      <c r="E22" s="245" t="s">
        <v>499</v>
      </c>
      <c r="F22" s="246" t="s">
        <v>500</v>
      </c>
      <c r="G22" s="247" t="s">
        <v>501</v>
      </c>
      <c r="H22" s="300" t="s">
        <v>502</v>
      </c>
      <c r="I22" s="127" t="s">
        <v>18980</v>
      </c>
    </row>
    <row r="23" spans="1:9" ht="30.7">
      <c r="A23" s="127" t="str">
        <f>B23&amp;C23</f>
        <v>InstructionsA24</v>
      </c>
      <c r="B23" s="127" t="s">
        <v>380</v>
      </c>
      <c r="C23" s="127" t="s">
        <v>503</v>
      </c>
      <c r="D23" s="127" t="s">
        <v>504</v>
      </c>
      <c r="E23" s="245" t="s">
        <v>505</v>
      </c>
      <c r="F23" s="246" t="s">
        <v>506</v>
      </c>
      <c r="G23" s="127" t="s">
        <v>507</v>
      </c>
      <c r="H23" s="300" t="s">
        <v>508</v>
      </c>
      <c r="I23" s="127" t="s">
        <v>18981</v>
      </c>
    </row>
    <row r="24" spans="1:9" ht="109.35">
      <c r="A24" s="127" t="str">
        <f t="shared" si="0"/>
        <v>InstructionsA25</v>
      </c>
      <c r="B24" s="127" t="s">
        <v>380</v>
      </c>
      <c r="C24" s="127" t="s">
        <v>509</v>
      </c>
      <c r="D24" s="127" t="s">
        <v>510</v>
      </c>
      <c r="E24" s="245" t="s">
        <v>511</v>
      </c>
      <c r="F24" s="291" t="s">
        <v>512</v>
      </c>
      <c r="G24" s="127" t="s">
        <v>513</v>
      </c>
      <c r="H24" s="297" t="s">
        <v>514</v>
      </c>
      <c r="I24" s="127" t="s">
        <v>18982</v>
      </c>
    </row>
    <row r="25" spans="1:9" ht="259.7">
      <c r="A25" s="127" t="str">
        <f t="shared" si="0"/>
        <v>InstructionsA26</v>
      </c>
      <c r="B25" s="127" t="s">
        <v>380</v>
      </c>
      <c r="C25" s="127" t="s">
        <v>515</v>
      </c>
      <c r="D25" s="127" t="s">
        <v>516</v>
      </c>
      <c r="E25" s="249" t="s">
        <v>517</v>
      </c>
      <c r="F25" s="291" t="s">
        <v>518</v>
      </c>
      <c r="G25" s="127" t="s">
        <v>519</v>
      </c>
      <c r="H25" s="297" t="s">
        <v>520</v>
      </c>
      <c r="I25" s="127" t="s">
        <v>18983</v>
      </c>
    </row>
    <row r="26" spans="1:9" ht="41">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59.7">
      <c r="A29" s="127" t="str">
        <f t="shared" si="1"/>
        <v>InstructionsA30</v>
      </c>
      <c r="B29" s="127" t="s">
        <v>380</v>
      </c>
      <c r="C29" s="127" t="s">
        <v>539</v>
      </c>
      <c r="D29" s="127" t="s">
        <v>540</v>
      </c>
      <c r="E29" s="249" t="s">
        <v>541</v>
      </c>
      <c r="F29" s="246" t="s">
        <v>542</v>
      </c>
      <c r="G29" s="127" t="s">
        <v>543</v>
      </c>
      <c r="H29" s="297" t="s">
        <v>544</v>
      </c>
      <c r="I29" s="127" t="s">
        <v>18987</v>
      </c>
    </row>
    <row r="30" spans="1:9" ht="218.7">
      <c r="A30" s="127" t="str">
        <f t="shared" si="1"/>
        <v>InstructionsA31</v>
      </c>
      <c r="B30" s="127" t="s">
        <v>380</v>
      </c>
      <c r="C30" s="127" t="s">
        <v>545</v>
      </c>
      <c r="D30" s="127" t="s">
        <v>546</v>
      </c>
      <c r="E30" s="245" t="s">
        <v>547</v>
      </c>
      <c r="F30" s="250" t="s">
        <v>548</v>
      </c>
      <c r="G30" s="127" t="s">
        <v>549</v>
      </c>
      <c r="H30" s="297" t="s">
        <v>550</v>
      </c>
      <c r="I30" s="127" t="s">
        <v>19198</v>
      </c>
    </row>
    <row r="31" spans="1:9" ht="109.35">
      <c r="A31" s="127" t="str">
        <f t="shared" si="1"/>
        <v>InstructionsA32</v>
      </c>
      <c r="B31" s="127" t="s">
        <v>380</v>
      </c>
      <c r="C31" s="127" t="s">
        <v>551</v>
      </c>
      <c r="D31" s="127" t="s">
        <v>552</v>
      </c>
      <c r="E31" s="249" t="s">
        <v>553</v>
      </c>
      <c r="F31" s="250" t="s">
        <v>554</v>
      </c>
      <c r="G31" s="127" t="s">
        <v>555</v>
      </c>
      <c r="H31" s="297" t="s">
        <v>556</v>
      </c>
      <c r="I31" s="127" t="s">
        <v>18988</v>
      </c>
    </row>
    <row r="32" spans="1:9" ht="109.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3.35000000000002">
      <c r="A34" s="127" t="str">
        <f t="shared" si="0"/>
        <v>InstructionsA36</v>
      </c>
      <c r="B34" s="127" t="s">
        <v>380</v>
      </c>
      <c r="C34" s="127" t="s">
        <v>569</v>
      </c>
      <c r="D34" s="127" t="s">
        <v>570</v>
      </c>
      <c r="E34" s="245" t="s">
        <v>571</v>
      </c>
      <c r="F34" s="246" t="s">
        <v>572</v>
      </c>
      <c r="G34" s="254" t="s">
        <v>573</v>
      </c>
      <c r="H34" s="297" t="s">
        <v>574</v>
      </c>
      <c r="I34" s="127" t="s">
        <v>18991</v>
      </c>
    </row>
    <row r="35" spans="1:9" ht="68.349999999999994">
      <c r="A35" s="127" t="str">
        <f t="shared" si="0"/>
        <v>InstructionsA37</v>
      </c>
      <c r="B35" s="127" t="s">
        <v>380</v>
      </c>
      <c r="C35" s="127" t="s">
        <v>575</v>
      </c>
      <c r="D35" s="127" t="s">
        <v>576</v>
      </c>
      <c r="E35" s="249" t="s">
        <v>577</v>
      </c>
      <c r="F35" s="291" t="s">
        <v>578</v>
      </c>
      <c r="G35" s="127" t="s">
        <v>579</v>
      </c>
      <c r="H35" s="297" t="s">
        <v>580</v>
      </c>
      <c r="I35" s="127" t="s">
        <v>18992</v>
      </c>
    </row>
    <row r="36" spans="1:9" ht="82">
      <c r="A36" s="127" t="str">
        <f t="shared" si="0"/>
        <v>InstructionsA38</v>
      </c>
      <c r="B36" s="127" t="s">
        <v>380</v>
      </c>
      <c r="C36" s="127" t="s">
        <v>581</v>
      </c>
      <c r="D36" s="127" t="s">
        <v>582</v>
      </c>
      <c r="E36" s="249" t="s">
        <v>583</v>
      </c>
      <c r="F36" s="291" t="s">
        <v>584</v>
      </c>
      <c r="G36" s="127" t="s">
        <v>585</v>
      </c>
      <c r="H36" s="297" t="s">
        <v>586</v>
      </c>
      <c r="I36" s="127" t="s">
        <v>18993</v>
      </c>
    </row>
    <row r="37" spans="1:9" ht="164">
      <c r="A37" s="127" t="str">
        <f t="shared" si="0"/>
        <v>InstructionsA39</v>
      </c>
      <c r="B37" s="127" t="s">
        <v>380</v>
      </c>
      <c r="C37" s="127" t="s">
        <v>587</v>
      </c>
      <c r="D37" s="127" t="s">
        <v>588</v>
      </c>
      <c r="E37" s="249" t="s">
        <v>589</v>
      </c>
      <c r="F37" s="292" t="s">
        <v>590</v>
      </c>
      <c r="G37" s="127" t="s">
        <v>591</v>
      </c>
      <c r="H37" s="297" t="s">
        <v>592</v>
      </c>
      <c r="I37" s="127" t="s">
        <v>18994</v>
      </c>
    </row>
    <row r="38" spans="1:9" ht="191.35">
      <c r="A38" s="127" t="str">
        <f t="shared" si="0"/>
        <v>InstructionsA40</v>
      </c>
      <c r="B38" s="127" t="s">
        <v>380</v>
      </c>
      <c r="C38" s="127" t="s">
        <v>593</v>
      </c>
      <c r="D38" s="251" t="s">
        <v>594</v>
      </c>
      <c r="E38" s="252" t="s">
        <v>595</v>
      </c>
      <c r="F38" s="293" t="s">
        <v>596</v>
      </c>
      <c r="G38" s="251" t="s">
        <v>597</v>
      </c>
      <c r="H38" s="297" t="s">
        <v>598</v>
      </c>
      <c r="I38" s="127" t="s">
        <v>18995</v>
      </c>
    </row>
    <row r="39" spans="1:9" ht="246">
      <c r="A39" s="127" t="str">
        <f>B39&amp;C39</f>
        <v>InstructionsA41</v>
      </c>
      <c r="B39" s="127" t="s">
        <v>380</v>
      </c>
      <c r="C39" s="127" t="s">
        <v>599</v>
      </c>
      <c r="D39" s="251" t="s">
        <v>600</v>
      </c>
      <c r="E39" s="252" t="s">
        <v>601</v>
      </c>
      <c r="F39" s="293" t="s">
        <v>602</v>
      </c>
      <c r="G39" s="255" t="s">
        <v>603</v>
      </c>
      <c r="H39" s="301" t="s">
        <v>604</v>
      </c>
      <c r="I39" s="127" t="s">
        <v>18996</v>
      </c>
    </row>
    <row r="40" spans="1:9" ht="215">
      <c r="A40" s="127" t="str">
        <f>B40&amp;C40</f>
        <v>InstructionsA42</v>
      </c>
      <c r="B40" s="127" t="s">
        <v>380</v>
      </c>
      <c r="C40" s="127" t="s">
        <v>605</v>
      </c>
      <c r="D40" s="127" t="s">
        <v>606</v>
      </c>
      <c r="E40" s="245" t="s">
        <v>607</v>
      </c>
      <c r="F40" s="291" t="s">
        <v>608</v>
      </c>
      <c r="G40" s="127" t="s">
        <v>609</v>
      </c>
      <c r="H40" s="297" t="s">
        <v>610</v>
      </c>
      <c r="I40" s="127" t="s">
        <v>18997</v>
      </c>
    </row>
    <row r="41" spans="1:9" ht="82">
      <c r="A41" s="127" t="str">
        <f t="shared" si="0"/>
        <v>InstructionsA43</v>
      </c>
      <c r="B41" s="127" t="s">
        <v>380</v>
      </c>
      <c r="C41" s="127" t="s">
        <v>611</v>
      </c>
      <c r="D41" s="127" t="s">
        <v>612</v>
      </c>
      <c r="E41" s="245" t="s">
        <v>613</v>
      </c>
      <c r="F41" s="291" t="s">
        <v>614</v>
      </c>
      <c r="G41" s="127" t="s">
        <v>615</v>
      </c>
      <c r="H41" s="297" t="s">
        <v>616</v>
      </c>
      <c r="I41" s="127" t="s">
        <v>18998</v>
      </c>
    </row>
    <row r="42" spans="1:9" ht="68.349999999999994">
      <c r="A42" s="127" t="str">
        <f t="shared" si="0"/>
        <v>InstructionsA45</v>
      </c>
      <c r="B42" s="127" t="s">
        <v>380</v>
      </c>
      <c r="C42" s="127" t="s">
        <v>617</v>
      </c>
      <c r="D42" s="127" t="s">
        <v>618</v>
      </c>
      <c r="E42" s="245" t="s">
        <v>619</v>
      </c>
      <c r="F42" s="246" t="s">
        <v>620</v>
      </c>
      <c r="G42" s="127" t="s">
        <v>621</v>
      </c>
      <c r="H42" s="297" t="s">
        <v>622</v>
      </c>
      <c r="I42" s="127" t="s">
        <v>18999</v>
      </c>
    </row>
    <row r="43" spans="1:9" ht="95.7">
      <c r="A43" s="127" t="str">
        <f t="shared" si="0"/>
        <v>InstructionsA46</v>
      </c>
      <c r="B43" s="127" t="s">
        <v>380</v>
      </c>
      <c r="C43" s="127" t="s">
        <v>623</v>
      </c>
      <c r="D43" s="127" t="s">
        <v>624</v>
      </c>
      <c r="E43" s="249" t="s">
        <v>625</v>
      </c>
      <c r="F43" s="291" t="s">
        <v>626</v>
      </c>
      <c r="G43" s="254" t="s">
        <v>627</v>
      </c>
      <c r="H43" s="297" t="s">
        <v>628</v>
      </c>
      <c r="I43" s="127" t="s">
        <v>19000</v>
      </c>
    </row>
    <row r="44" spans="1:9" ht="68.349999999999994">
      <c r="A44" s="127" t="str">
        <f t="shared" si="0"/>
        <v>InstructionsA48</v>
      </c>
      <c r="B44" s="237" t="s">
        <v>380</v>
      </c>
      <c r="C44" s="127" t="s">
        <v>629</v>
      </c>
      <c r="D44" s="237" t="s">
        <v>630</v>
      </c>
      <c r="E44" s="245" t="s">
        <v>631</v>
      </c>
      <c r="F44" s="246" t="s">
        <v>632</v>
      </c>
      <c r="G44" s="256" t="s">
        <v>633</v>
      </c>
      <c r="H44" s="297" t="s">
        <v>634</v>
      </c>
      <c r="I44" s="127" t="s">
        <v>19001</v>
      </c>
    </row>
    <row r="45" spans="1:9" ht="54.7">
      <c r="A45" s="127" t="str">
        <f>B45&amp;C45</f>
        <v>InstructionsA49</v>
      </c>
      <c r="B45" s="127" t="s">
        <v>380</v>
      </c>
      <c r="C45" s="127" t="s">
        <v>635</v>
      </c>
      <c r="D45" s="127" t="s">
        <v>636</v>
      </c>
      <c r="E45" s="245" t="s">
        <v>637</v>
      </c>
      <c r="F45" s="246" t="s">
        <v>638</v>
      </c>
      <c r="G45" s="127" t="s">
        <v>639</v>
      </c>
      <c r="H45" s="300" t="s">
        <v>640</v>
      </c>
      <c r="I45" s="127" t="s">
        <v>19002</v>
      </c>
    </row>
    <row r="46" spans="1:9" ht="150.35">
      <c r="A46" s="127" t="str">
        <f t="shared" si="0"/>
        <v>InstructionsA50</v>
      </c>
      <c r="B46" s="127" t="s">
        <v>380</v>
      </c>
      <c r="C46" s="127" t="s">
        <v>641</v>
      </c>
      <c r="D46" s="127" t="s">
        <v>642</v>
      </c>
      <c r="E46" s="294" t="s">
        <v>643</v>
      </c>
      <c r="F46" s="291" t="s">
        <v>644</v>
      </c>
      <c r="G46" s="127" t="s">
        <v>645</v>
      </c>
      <c r="H46" s="297" t="s">
        <v>646</v>
      </c>
      <c r="I46" s="127" t="s">
        <v>19003</v>
      </c>
    </row>
    <row r="47" spans="1:9" ht="82">
      <c r="A47" s="127" t="str">
        <f t="shared" si="0"/>
        <v>InstructionsA51</v>
      </c>
      <c r="B47" s="127" t="s">
        <v>380</v>
      </c>
      <c r="C47" s="127" t="s">
        <v>647</v>
      </c>
      <c r="D47" s="127" t="s">
        <v>648</v>
      </c>
      <c r="E47" s="245" t="s">
        <v>649</v>
      </c>
      <c r="F47" s="246" t="s">
        <v>650</v>
      </c>
      <c r="G47" s="127" t="s">
        <v>651</v>
      </c>
      <c r="H47" s="297" t="s">
        <v>652</v>
      </c>
      <c r="I47" s="127" t="s">
        <v>19004</v>
      </c>
    </row>
    <row r="48" spans="1:9" ht="82">
      <c r="A48" s="127" t="str">
        <f t="shared" si="0"/>
        <v>InstructionsA52</v>
      </c>
      <c r="B48" s="127" t="s">
        <v>380</v>
      </c>
      <c r="C48" s="127" t="s">
        <v>653</v>
      </c>
      <c r="D48" s="127" t="s">
        <v>654</v>
      </c>
      <c r="E48" s="245" t="s">
        <v>655</v>
      </c>
      <c r="F48" s="246" t="s">
        <v>656</v>
      </c>
      <c r="G48" s="257" t="s">
        <v>657</v>
      </c>
      <c r="H48" s="297" t="s">
        <v>658</v>
      </c>
      <c r="I48" s="127" t="s">
        <v>19005</v>
      </c>
    </row>
    <row r="49" spans="1:9" ht="123">
      <c r="A49" s="127" t="str">
        <f>B49&amp;C49</f>
        <v>InstructionsA53</v>
      </c>
      <c r="B49" s="127" t="s">
        <v>380</v>
      </c>
      <c r="C49" s="127" t="s">
        <v>659</v>
      </c>
      <c r="D49" s="127" t="s">
        <v>660</v>
      </c>
      <c r="E49" s="245" t="s">
        <v>661</v>
      </c>
      <c r="F49" s="246" t="s">
        <v>662</v>
      </c>
      <c r="G49" s="257" t="s">
        <v>663</v>
      </c>
      <c r="H49" s="300" t="s">
        <v>664</v>
      </c>
      <c r="I49" s="127" t="s">
        <v>19006</v>
      </c>
    </row>
    <row r="50" spans="1:9" ht="68.349999999999994">
      <c r="A50" s="127" t="str">
        <f>B50&amp;C50</f>
        <v>InstructionsA54</v>
      </c>
      <c r="B50" s="127" t="s">
        <v>380</v>
      </c>
      <c r="C50" s="127" t="s">
        <v>665</v>
      </c>
      <c r="D50" s="127" t="s">
        <v>666</v>
      </c>
      <c r="E50" s="245" t="s">
        <v>667</v>
      </c>
      <c r="F50" s="246" t="s">
        <v>668</v>
      </c>
      <c r="G50" s="257" t="s">
        <v>669</v>
      </c>
      <c r="H50" s="297" t="s">
        <v>670</v>
      </c>
      <c r="I50" s="127" t="s">
        <v>19007</v>
      </c>
    </row>
    <row r="51" spans="1:9" ht="41">
      <c r="A51" s="127" t="str">
        <f t="shared" si="0"/>
        <v>InstructionsA55</v>
      </c>
      <c r="B51" s="127" t="s">
        <v>380</v>
      </c>
      <c r="C51" s="127" t="s">
        <v>671</v>
      </c>
      <c r="D51" s="127" t="s">
        <v>672</v>
      </c>
      <c r="E51" s="245" t="s">
        <v>673</v>
      </c>
      <c r="F51" s="246" t="s">
        <v>674</v>
      </c>
      <c r="G51" s="257" t="s">
        <v>675</v>
      </c>
      <c r="H51" s="297" t="s">
        <v>676</v>
      </c>
      <c r="I51" s="127" t="s">
        <v>19008</v>
      </c>
    </row>
    <row r="52" spans="1:9" ht="41">
      <c r="A52" s="127" t="str">
        <f t="shared" si="0"/>
        <v>InstructionsA56</v>
      </c>
      <c r="B52" s="127" t="s">
        <v>380</v>
      </c>
      <c r="C52" s="127" t="s">
        <v>677</v>
      </c>
      <c r="D52" s="127" t="s">
        <v>678</v>
      </c>
      <c r="E52" s="245" t="s">
        <v>679</v>
      </c>
      <c r="F52" s="246" t="s">
        <v>680</v>
      </c>
      <c r="G52" s="127" t="s">
        <v>681</v>
      </c>
      <c r="H52" s="297" t="s">
        <v>682</v>
      </c>
      <c r="I52" s="127" t="s">
        <v>19009</v>
      </c>
    </row>
    <row r="53" spans="1:9" ht="68.349999999999994">
      <c r="A53" s="127" t="str">
        <f t="shared" si="0"/>
        <v>InstructionsA57</v>
      </c>
      <c r="B53" s="127" t="s">
        <v>380</v>
      </c>
      <c r="C53" s="127" t="s">
        <v>683</v>
      </c>
      <c r="D53" s="127" t="s">
        <v>684</v>
      </c>
      <c r="E53" s="245" t="s">
        <v>685</v>
      </c>
      <c r="F53" s="246" t="s">
        <v>686</v>
      </c>
      <c r="G53" s="258" t="s">
        <v>687</v>
      </c>
      <c r="H53" s="297" t="s">
        <v>688</v>
      </c>
      <c r="I53" s="127" t="s">
        <v>19010</v>
      </c>
    </row>
    <row r="54" spans="1:9" ht="328">
      <c r="A54" s="127" t="str">
        <f t="shared" si="0"/>
        <v>InstructionsA58</v>
      </c>
      <c r="B54" s="127" t="s">
        <v>380</v>
      </c>
      <c r="C54" s="127" t="s">
        <v>689</v>
      </c>
      <c r="D54" s="127" t="s">
        <v>690</v>
      </c>
      <c r="E54" s="245" t="s">
        <v>691</v>
      </c>
      <c r="F54" s="246" t="s">
        <v>692</v>
      </c>
      <c r="G54" s="257" t="s">
        <v>693</v>
      </c>
      <c r="H54" s="297" t="s">
        <v>694</v>
      </c>
      <c r="I54" s="127" t="s">
        <v>19017</v>
      </c>
    </row>
    <row r="55" spans="1:9" ht="82">
      <c r="A55" s="127" t="str">
        <f t="shared" si="0"/>
        <v>InstructionsA59</v>
      </c>
      <c r="B55" s="127" t="s">
        <v>380</v>
      </c>
      <c r="C55" s="127" t="s">
        <v>695</v>
      </c>
      <c r="D55" s="127" t="s">
        <v>696</v>
      </c>
      <c r="E55" s="245" t="s">
        <v>697</v>
      </c>
      <c r="F55" s="246" t="s">
        <v>698</v>
      </c>
      <c r="G55" s="127" t="s">
        <v>699</v>
      </c>
      <c r="H55" s="297" t="s">
        <v>700</v>
      </c>
      <c r="I55" s="127" t="s">
        <v>19011</v>
      </c>
    </row>
    <row r="56" spans="1:9" ht="164">
      <c r="A56" s="127" t="str">
        <f t="shared" si="0"/>
        <v>InstructionsA60</v>
      </c>
      <c r="B56" s="127" t="s">
        <v>380</v>
      </c>
      <c r="C56" s="127" t="s">
        <v>701</v>
      </c>
      <c r="D56" s="127" t="s">
        <v>702</v>
      </c>
      <c r="E56" s="245" t="s">
        <v>703</v>
      </c>
      <c r="F56" s="246" t="s">
        <v>704</v>
      </c>
      <c r="G56" s="257" t="s">
        <v>705</v>
      </c>
      <c r="H56" s="297" t="s">
        <v>706</v>
      </c>
      <c r="I56" s="127" t="s">
        <v>19012</v>
      </c>
    </row>
    <row r="57" spans="1:9" ht="191.35">
      <c r="A57" s="127" t="str">
        <f t="shared" si="0"/>
        <v>InstructionsA61</v>
      </c>
      <c r="B57" s="127" t="s">
        <v>380</v>
      </c>
      <c r="C57" s="127" t="s">
        <v>707</v>
      </c>
      <c r="D57" s="127" t="s">
        <v>708</v>
      </c>
      <c r="E57" s="245" t="s">
        <v>709</v>
      </c>
      <c r="F57" s="246" t="s">
        <v>710</v>
      </c>
      <c r="G57" s="257" t="s">
        <v>711</v>
      </c>
      <c r="H57" s="297" t="s">
        <v>712</v>
      </c>
      <c r="I57" s="127" t="s">
        <v>19013</v>
      </c>
    </row>
    <row r="58" spans="1:9" ht="109.35">
      <c r="A58" s="127" t="str">
        <f>B58&amp;C58</f>
        <v>InstructionsA62</v>
      </c>
      <c r="B58" s="127" t="s">
        <v>380</v>
      </c>
      <c r="C58" s="127" t="s">
        <v>713</v>
      </c>
      <c r="D58" s="127" t="s">
        <v>714</v>
      </c>
      <c r="E58" s="294" t="s">
        <v>715</v>
      </c>
      <c r="F58" s="291" t="s">
        <v>716</v>
      </c>
      <c r="G58" s="257" t="s">
        <v>717</v>
      </c>
      <c r="H58" s="302" t="s">
        <v>718</v>
      </c>
      <c r="I58" s="127" t="s">
        <v>19014</v>
      </c>
    </row>
    <row r="59" spans="1:9" ht="43">
      <c r="A59" s="127" t="str">
        <f t="shared" si="0"/>
        <v>InstructionsA63</v>
      </c>
      <c r="B59" s="127" t="s">
        <v>380</v>
      </c>
      <c r="C59" s="127" t="s">
        <v>719</v>
      </c>
      <c r="D59" s="127" t="s">
        <v>720</v>
      </c>
      <c r="E59" s="245" t="s">
        <v>721</v>
      </c>
      <c r="F59" s="246" t="s">
        <v>722</v>
      </c>
      <c r="G59" s="127" t="s">
        <v>723</v>
      </c>
      <c r="H59" s="297" t="s">
        <v>724</v>
      </c>
      <c r="I59" s="127" t="s">
        <v>19015</v>
      </c>
    </row>
    <row r="60" spans="1:9" ht="184">
      <c r="A60" s="127" t="str">
        <f>B60&amp;C60</f>
        <v>InstructionsA65</v>
      </c>
      <c r="B60" s="127" t="s">
        <v>380</v>
      </c>
      <c r="C60" s="127" t="s">
        <v>725</v>
      </c>
      <c r="D60" s="127" t="s">
        <v>726</v>
      </c>
      <c r="E60" s="245" t="s">
        <v>727</v>
      </c>
      <c r="F60" s="246" t="s">
        <v>728</v>
      </c>
      <c r="G60" s="127" t="s">
        <v>729</v>
      </c>
      <c r="H60" s="300" t="s">
        <v>730</v>
      </c>
      <c r="I60" s="127" t="s">
        <v>19016</v>
      </c>
    </row>
    <row r="61" spans="1:9" ht="28.7">
      <c r="A61" s="127" t="str">
        <f t="shared" si="0"/>
        <v>InstructionsA67</v>
      </c>
      <c r="B61" s="127" t="s">
        <v>380</v>
      </c>
      <c r="C61" s="127" t="s">
        <v>731</v>
      </c>
      <c r="D61" s="127" t="s">
        <v>732</v>
      </c>
      <c r="E61" s="245" t="s">
        <v>733</v>
      </c>
      <c r="F61" s="246" t="s">
        <v>734</v>
      </c>
      <c r="G61" s="127" t="s">
        <v>735</v>
      </c>
      <c r="H61" s="300" t="s">
        <v>736</v>
      </c>
      <c r="I61" s="127" t="s">
        <v>19018</v>
      </c>
    </row>
    <row r="62" spans="1:9" ht="300.7">
      <c r="A62" s="127" t="str">
        <f t="shared" si="0"/>
        <v>InstructionsA68</v>
      </c>
      <c r="B62" s="127" t="s">
        <v>380</v>
      </c>
      <c r="C62" s="127" t="s">
        <v>737</v>
      </c>
      <c r="D62" s="127" t="s">
        <v>738</v>
      </c>
      <c r="E62" s="245" t="s">
        <v>739</v>
      </c>
      <c r="F62" s="246" t="s">
        <v>740</v>
      </c>
      <c r="G62" s="257" t="s">
        <v>741</v>
      </c>
      <c r="H62" s="297" t="s">
        <v>742</v>
      </c>
      <c r="I62" s="127" t="s">
        <v>19024</v>
      </c>
    </row>
    <row r="63" spans="1:9" ht="150.35">
      <c r="A63" s="127" t="str">
        <f t="shared" si="0"/>
        <v>InstructionsA69</v>
      </c>
      <c r="B63" s="127" t="s">
        <v>380</v>
      </c>
      <c r="C63" s="127" t="s">
        <v>743</v>
      </c>
      <c r="D63" s="127" t="s">
        <v>744</v>
      </c>
      <c r="E63" s="245" t="s">
        <v>745</v>
      </c>
      <c r="F63" s="246" t="s">
        <v>746</v>
      </c>
      <c r="G63" s="257" t="s">
        <v>747</v>
      </c>
      <c r="H63" s="297" t="s">
        <v>748</v>
      </c>
      <c r="I63" s="127" t="s">
        <v>19019</v>
      </c>
    </row>
    <row r="64" spans="1:9" ht="150.35">
      <c r="A64" s="127" t="str">
        <f t="shared" si="0"/>
        <v>InstructionsA70</v>
      </c>
      <c r="B64" s="127" t="s">
        <v>380</v>
      </c>
      <c r="C64" s="127" t="s">
        <v>749</v>
      </c>
      <c r="D64" s="127" t="s">
        <v>750</v>
      </c>
      <c r="E64" s="245" t="s">
        <v>751</v>
      </c>
      <c r="F64" s="246" t="s">
        <v>752</v>
      </c>
      <c r="G64" s="257" t="s">
        <v>753</v>
      </c>
      <c r="H64" s="297" t="s">
        <v>754</v>
      </c>
      <c r="I64" s="127" t="s">
        <v>19020</v>
      </c>
    </row>
    <row r="65" spans="1:9" ht="300.7">
      <c r="A65" s="127" t="str">
        <f t="shared" si="0"/>
        <v>InstructionsA71</v>
      </c>
      <c r="B65" s="127" t="s">
        <v>380</v>
      </c>
      <c r="C65" s="127" t="s">
        <v>755</v>
      </c>
      <c r="D65" s="127" t="s">
        <v>756</v>
      </c>
      <c r="E65" s="245" t="s">
        <v>757</v>
      </c>
      <c r="F65" s="246" t="s">
        <v>758</v>
      </c>
      <c r="G65" s="257" t="s">
        <v>759</v>
      </c>
      <c r="H65" s="297" t="s">
        <v>760</v>
      </c>
      <c r="I65" s="127" t="s">
        <v>19021</v>
      </c>
    </row>
    <row r="66" spans="1:9" ht="95.7">
      <c r="A66" s="127" t="str">
        <f t="shared" si="0"/>
        <v>InstructionsA72</v>
      </c>
      <c r="B66" s="127" t="s">
        <v>380</v>
      </c>
      <c r="C66" s="127" t="s">
        <v>761</v>
      </c>
      <c r="D66" s="127" t="s">
        <v>762</v>
      </c>
      <c r="E66" s="245" t="s">
        <v>763</v>
      </c>
      <c r="F66" s="246" t="s">
        <v>764</v>
      </c>
      <c r="G66" s="257" t="s">
        <v>765</v>
      </c>
      <c r="H66" s="297" t="s">
        <v>766</v>
      </c>
      <c r="I66" s="127" t="s">
        <v>19022</v>
      </c>
    </row>
    <row r="67" spans="1:9" ht="41">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7">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7">
      <c r="A77" s="127" t="str">
        <f t="shared" si="4"/>
        <v>DefinitionsB11</v>
      </c>
      <c r="B77" s="127" t="s">
        <v>773</v>
      </c>
      <c r="C77" s="127" t="s">
        <v>826</v>
      </c>
      <c r="D77" s="251" t="s">
        <v>827</v>
      </c>
      <c r="E77" s="251" t="s">
        <v>828</v>
      </c>
      <c r="F77" s="260" t="s">
        <v>829</v>
      </c>
      <c r="G77" s="261" t="s">
        <v>830</v>
      </c>
      <c r="H77" s="297" t="s">
        <v>831</v>
      </c>
      <c r="I77" s="189" t="s">
        <v>19038</v>
      </c>
    </row>
    <row r="78" spans="1:9" ht="13.7">
      <c r="A78" s="127" t="str">
        <f t="shared" si="4"/>
        <v>DefinitionsB12</v>
      </c>
      <c r="B78" s="127" t="s">
        <v>773</v>
      </c>
      <c r="C78" s="127" t="s">
        <v>832</v>
      </c>
      <c r="D78" s="251" t="s">
        <v>833</v>
      </c>
      <c r="E78" s="251" t="s">
        <v>834</v>
      </c>
      <c r="F78" s="260" t="s">
        <v>835</v>
      </c>
      <c r="G78" s="262" t="s">
        <v>836</v>
      </c>
      <c r="H78" s="297" t="s">
        <v>19036</v>
      </c>
      <c r="I78" s="189" t="s">
        <v>19039</v>
      </c>
    </row>
    <row r="79" spans="1:9" ht="13.7">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
      <c r="A89" s="127" t="str">
        <f t="shared" si="4"/>
        <v>DefinitionsC3</v>
      </c>
      <c r="B89" s="127" t="s">
        <v>773</v>
      </c>
      <c r="C89" s="127" t="s">
        <v>894</v>
      </c>
      <c r="D89" s="127" t="s">
        <v>895</v>
      </c>
      <c r="E89" s="245" t="s">
        <v>896</v>
      </c>
      <c r="F89" s="246" t="s">
        <v>897</v>
      </c>
      <c r="G89" s="127" t="s">
        <v>898</v>
      </c>
      <c r="H89" s="297" t="s">
        <v>899</v>
      </c>
      <c r="I89" s="127" t="s">
        <v>19045</v>
      </c>
    </row>
    <row r="90" spans="1:9" ht="54.7">
      <c r="A90" s="127" t="str">
        <f t="shared" ref="A90" si="5">B90&amp;C90</f>
        <v>DefinitionsC4</v>
      </c>
      <c r="B90" s="127" t="s">
        <v>773</v>
      </c>
      <c r="C90" s="127" t="s">
        <v>900</v>
      </c>
      <c r="D90" s="127" t="s">
        <v>901</v>
      </c>
      <c r="E90" s="249" t="s">
        <v>902</v>
      </c>
      <c r="F90" s="246" t="s">
        <v>903</v>
      </c>
      <c r="G90" s="254" t="s">
        <v>904</v>
      </c>
      <c r="H90" s="297" t="s">
        <v>905</v>
      </c>
      <c r="I90" s="311" t="s">
        <v>19041</v>
      </c>
    </row>
    <row r="91" spans="1:9" ht="191.35">
      <c r="A91" s="127" t="str">
        <f>B91&amp;C91</f>
        <v>DefinitionsC5</v>
      </c>
      <c r="B91" s="127" t="s">
        <v>773</v>
      </c>
      <c r="C91" s="127" t="s">
        <v>906</v>
      </c>
      <c r="D91" s="127" t="s">
        <v>907</v>
      </c>
      <c r="E91" s="245" t="s">
        <v>908</v>
      </c>
      <c r="F91" s="246" t="s">
        <v>909</v>
      </c>
      <c r="G91" s="127" t="s">
        <v>910</v>
      </c>
      <c r="H91" s="297" t="s">
        <v>911</v>
      </c>
      <c r="I91" s="127" t="s">
        <v>19046</v>
      </c>
    </row>
    <row r="92" spans="1:9" ht="150.35">
      <c r="A92" s="127" t="str">
        <f>B92&amp;C92</f>
        <v>DefinitionsC6</v>
      </c>
      <c r="B92" s="127" t="s">
        <v>773</v>
      </c>
      <c r="C92" s="127" t="s">
        <v>912</v>
      </c>
      <c r="D92" s="127" t="s">
        <v>913</v>
      </c>
      <c r="E92" s="245" t="s">
        <v>914</v>
      </c>
      <c r="F92" s="246" t="s">
        <v>915</v>
      </c>
      <c r="G92" s="127" t="s">
        <v>916</v>
      </c>
      <c r="H92" s="297" t="s">
        <v>917</v>
      </c>
      <c r="I92" s="127" t="s">
        <v>19047</v>
      </c>
    </row>
    <row r="93" spans="1:9" ht="127">
      <c r="A93" s="127" t="str">
        <f t="shared" si="4"/>
        <v>DefinitionsC7</v>
      </c>
      <c r="B93" s="127" t="s">
        <v>773</v>
      </c>
      <c r="C93" s="127" t="s">
        <v>918</v>
      </c>
      <c r="D93" s="127" t="s">
        <v>919</v>
      </c>
      <c r="E93" s="245" t="s">
        <v>920</v>
      </c>
      <c r="F93" s="246" t="s">
        <v>921</v>
      </c>
      <c r="G93" s="127" t="s">
        <v>922</v>
      </c>
      <c r="H93" s="297" t="s">
        <v>923</v>
      </c>
      <c r="I93" s="127" t="s">
        <v>19051</v>
      </c>
    </row>
    <row r="94" spans="1:9" ht="136.69999999999999">
      <c r="A94" s="127" t="str">
        <f t="shared" si="4"/>
        <v>DefinitionsC8</v>
      </c>
      <c r="B94" s="127" t="s">
        <v>773</v>
      </c>
      <c r="C94" s="127" t="s">
        <v>924</v>
      </c>
      <c r="D94" s="127" t="s">
        <v>925</v>
      </c>
      <c r="E94" s="245" t="s">
        <v>926</v>
      </c>
      <c r="F94" s="246" t="s">
        <v>927</v>
      </c>
      <c r="G94" s="127" t="s">
        <v>928</v>
      </c>
      <c r="H94" s="297" t="s">
        <v>929</v>
      </c>
      <c r="I94" s="127" t="s">
        <v>19049</v>
      </c>
    </row>
    <row r="95" spans="1:9" ht="68.349999999999994">
      <c r="A95" s="127" t="str">
        <f t="shared" si="4"/>
        <v>DefinitionsC9</v>
      </c>
      <c r="B95" s="127" t="s">
        <v>773</v>
      </c>
      <c r="C95" s="127" t="s">
        <v>930</v>
      </c>
      <c r="D95" s="127" t="s">
        <v>931</v>
      </c>
      <c r="E95" s="245" t="s">
        <v>932</v>
      </c>
      <c r="F95" s="246" t="s">
        <v>933</v>
      </c>
      <c r="G95" s="127" t="s">
        <v>934</v>
      </c>
      <c r="H95" s="297" t="s">
        <v>935</v>
      </c>
      <c r="I95" s="127" t="s">
        <v>19050</v>
      </c>
    </row>
    <row r="96" spans="1:9" ht="218.7">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0.35">
      <c r="A99" s="127" t="str">
        <f t="shared" si="4"/>
        <v>DefinitionsC13</v>
      </c>
      <c r="B99" s="127" t="s">
        <v>773</v>
      </c>
      <c r="C99" s="127" t="s">
        <v>954</v>
      </c>
      <c r="D99" s="251" t="s">
        <v>955</v>
      </c>
      <c r="E99" s="252" t="s">
        <v>956</v>
      </c>
      <c r="F99" s="260" t="s">
        <v>957</v>
      </c>
      <c r="G99" s="262" t="s">
        <v>958</v>
      </c>
      <c r="H99" s="297" t="s">
        <v>959</v>
      </c>
      <c r="I99" s="127" t="s">
        <v>19053</v>
      </c>
    </row>
    <row r="100" spans="1:9" ht="68.349999999999994">
      <c r="A100" s="127" t="str">
        <f>B100&amp;C100</f>
        <v>DefinitionsC14</v>
      </c>
      <c r="B100" s="127" t="s">
        <v>773</v>
      </c>
      <c r="C100" s="127" t="s">
        <v>960</v>
      </c>
      <c r="D100" s="127" t="s">
        <v>961</v>
      </c>
      <c r="E100" s="245" t="s">
        <v>962</v>
      </c>
      <c r="F100" s="246" t="s">
        <v>963</v>
      </c>
      <c r="G100" s="127" t="s">
        <v>964</v>
      </c>
      <c r="H100" s="297" t="s">
        <v>965</v>
      </c>
      <c r="I100" s="127" t="s">
        <v>19054</v>
      </c>
    </row>
    <row r="101" spans="1:9" ht="177.7">
      <c r="A101" s="127" t="str">
        <f t="shared" si="4"/>
        <v>DefinitionsC15</v>
      </c>
      <c r="B101" s="127" t="s">
        <v>773</v>
      </c>
      <c r="C101" s="127" t="s">
        <v>966</v>
      </c>
      <c r="D101" s="127" t="s">
        <v>967</v>
      </c>
      <c r="E101" s="249" t="s">
        <v>968</v>
      </c>
      <c r="F101" s="246" t="s">
        <v>969</v>
      </c>
      <c r="G101" s="247" t="s">
        <v>970</v>
      </c>
      <c r="H101" s="297" t="s">
        <v>971</v>
      </c>
      <c r="I101" s="127" t="s">
        <v>19055</v>
      </c>
    </row>
    <row r="102" spans="1:9" ht="68.349999999999994">
      <c r="A102" s="127" t="str">
        <f>B102&amp;C102</f>
        <v>DefinitionsC16</v>
      </c>
      <c r="B102" s="127" t="s">
        <v>773</v>
      </c>
      <c r="C102" s="127" t="s">
        <v>972</v>
      </c>
      <c r="D102" s="127" t="s">
        <v>973</v>
      </c>
      <c r="E102" s="245" t="s">
        <v>974</v>
      </c>
      <c r="F102" s="246" t="s">
        <v>975</v>
      </c>
      <c r="G102" s="127" t="s">
        <v>976</v>
      </c>
      <c r="H102" s="297" t="s">
        <v>977</v>
      </c>
      <c r="I102" s="127" t="s">
        <v>19056</v>
      </c>
    </row>
    <row r="103" spans="1:9" ht="95.7">
      <c r="A103" s="127" t="str">
        <f>B103&amp;C103</f>
        <v>DefinitionsC17</v>
      </c>
      <c r="B103" s="127" t="s">
        <v>773</v>
      </c>
      <c r="C103" s="127" t="s">
        <v>978</v>
      </c>
      <c r="D103" s="127" t="s">
        <v>979</v>
      </c>
      <c r="E103" s="245" t="s">
        <v>980</v>
      </c>
      <c r="F103" s="246" t="s">
        <v>981</v>
      </c>
      <c r="G103" s="127" t="s">
        <v>982</v>
      </c>
      <c r="H103" s="297" t="s">
        <v>983</v>
      </c>
      <c r="I103" s="127" t="s">
        <v>19057</v>
      </c>
    </row>
    <row r="104" spans="1:9" ht="273.35000000000002">
      <c r="A104" s="127" t="str">
        <f>B104&amp;C104</f>
        <v>DefinitionsC18</v>
      </c>
      <c r="B104" s="127" t="s">
        <v>773</v>
      </c>
      <c r="C104" s="127" t="s">
        <v>984</v>
      </c>
      <c r="D104" s="127" t="s">
        <v>985</v>
      </c>
      <c r="E104" s="245" t="s">
        <v>986</v>
      </c>
      <c r="F104" s="246" t="s">
        <v>987</v>
      </c>
      <c r="G104" s="127" t="s">
        <v>988</v>
      </c>
      <c r="H104" s="297" t="s">
        <v>989</v>
      </c>
      <c r="I104" s="127" t="s">
        <v>19058</v>
      </c>
    </row>
    <row r="105" spans="1:9" ht="259.7">
      <c r="A105" s="127" t="str">
        <f>B105&amp;C105</f>
        <v>DefinitionsC19</v>
      </c>
      <c r="B105" s="127" t="s">
        <v>773</v>
      </c>
      <c r="C105" s="127" t="s">
        <v>990</v>
      </c>
      <c r="D105" s="127" t="s">
        <v>991</v>
      </c>
      <c r="E105" s="245" t="s">
        <v>992</v>
      </c>
      <c r="F105" s="246" t="s">
        <v>993</v>
      </c>
      <c r="G105" s="254" t="s">
        <v>994</v>
      </c>
      <c r="H105" s="297" t="s">
        <v>995</v>
      </c>
      <c r="I105" s="127" t="s">
        <v>19059</v>
      </c>
    </row>
    <row r="106" spans="1:9" ht="136.69999999999999">
      <c r="A106" s="127" t="str">
        <f t="shared" si="4"/>
        <v>DefinitionsC20</v>
      </c>
      <c r="B106" s="127" t="s">
        <v>773</v>
      </c>
      <c r="C106" s="127" t="s">
        <v>996</v>
      </c>
      <c r="D106" s="251" t="s">
        <v>997</v>
      </c>
      <c r="E106" s="252" t="s">
        <v>998</v>
      </c>
      <c r="F106" s="260" t="s">
        <v>999</v>
      </c>
      <c r="G106" s="261" t="s">
        <v>1000</v>
      </c>
      <c r="H106" s="297" t="s">
        <v>1001</v>
      </c>
      <c r="I106" s="127" t="s">
        <v>19060</v>
      </c>
    </row>
    <row r="107" spans="1:9" ht="86">
      <c r="A107" s="127" t="str">
        <f>B107&amp;C107</f>
        <v>DefinitionsC21</v>
      </c>
      <c r="B107" s="127" t="s">
        <v>773</v>
      </c>
      <c r="C107" s="127" t="s">
        <v>1002</v>
      </c>
      <c r="D107" s="127" t="s">
        <v>1003</v>
      </c>
      <c r="E107" s="245" t="s">
        <v>1004</v>
      </c>
      <c r="F107" s="246" t="s">
        <v>1005</v>
      </c>
      <c r="G107" s="127" t="s">
        <v>1006</v>
      </c>
      <c r="H107" s="297" t="s">
        <v>1007</v>
      </c>
      <c r="I107" s="127" t="s">
        <v>19061</v>
      </c>
    </row>
    <row r="108" spans="1:9" ht="27.35">
      <c r="A108" s="127" t="str">
        <f t="shared" si="4"/>
        <v>DeclarationD2</v>
      </c>
      <c r="B108" s="127" t="s">
        <v>1008</v>
      </c>
      <c r="C108" s="127" t="s">
        <v>1009</v>
      </c>
      <c r="D108" s="251" t="s">
        <v>1010</v>
      </c>
      <c r="E108" s="251" t="s">
        <v>1011</v>
      </c>
      <c r="F108" s="259" t="s">
        <v>1012</v>
      </c>
      <c r="G108" s="264" t="s">
        <v>1013</v>
      </c>
      <c r="H108" s="297" t="s">
        <v>1014</v>
      </c>
      <c r="I108" s="189" t="s">
        <v>19063</v>
      </c>
    </row>
    <row r="109" spans="1:9" ht="27.35">
      <c r="A109" s="127" t="str">
        <f t="shared" si="4"/>
        <v>DeclarationF3</v>
      </c>
      <c r="B109" s="127" t="s">
        <v>1008</v>
      </c>
      <c r="C109" s="127" t="s">
        <v>1015</v>
      </c>
      <c r="D109" s="127" t="s">
        <v>1016</v>
      </c>
      <c r="E109" s="245" t="s">
        <v>1017</v>
      </c>
      <c r="F109" s="246" t="s">
        <v>1018</v>
      </c>
      <c r="G109" s="127" t="s">
        <v>1019</v>
      </c>
      <c r="H109" s="297" t="s">
        <v>1020</v>
      </c>
      <c r="I109" s="127" t="s">
        <v>19064</v>
      </c>
    </row>
    <row r="110" spans="1:9" ht="27.3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35">
      <c r="A115" s="127" t="str">
        <f t="shared" si="4"/>
        <v>DeclarationB8</v>
      </c>
      <c r="B115" s="127" t="s">
        <v>1008</v>
      </c>
      <c r="C115" s="127" t="s">
        <v>809</v>
      </c>
      <c r="D115" s="127" t="s">
        <v>1048</v>
      </c>
      <c r="E115" s="245" t="s">
        <v>1049</v>
      </c>
      <c r="F115" s="246" t="s">
        <v>1050</v>
      </c>
      <c r="G115" s="127" t="s">
        <v>1051</v>
      </c>
      <c r="H115" s="297" t="s">
        <v>1052</v>
      </c>
      <c r="I115" s="127" t="s">
        <v>19069</v>
      </c>
    </row>
    <row r="116" spans="1:9" ht="15.3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35">
      <c r="A118" s="127" t="str">
        <f>B118&amp;C118</f>
        <v>DeclarationB10A</v>
      </c>
      <c r="B118" s="127" t="s">
        <v>1008</v>
      </c>
      <c r="C118" s="127" t="s">
        <v>1063</v>
      </c>
      <c r="D118" s="127" t="s">
        <v>1058</v>
      </c>
      <c r="E118" s="245" t="s">
        <v>1059</v>
      </c>
      <c r="F118" s="246" t="s">
        <v>1064</v>
      </c>
      <c r="G118" s="127" t="s">
        <v>1061</v>
      </c>
      <c r="H118" s="297" t="s">
        <v>1062</v>
      </c>
      <c r="I118" s="127" t="s">
        <v>19071</v>
      </c>
    </row>
    <row r="119" spans="1:9" ht="27.35">
      <c r="A119" s="127" t="str">
        <f>B119&amp;C119</f>
        <v>DeclarationB10C</v>
      </c>
      <c r="B119" s="127" t="s">
        <v>1008</v>
      </c>
      <c r="C119" s="127" t="s">
        <v>1065</v>
      </c>
      <c r="D119" s="127" t="s">
        <v>1066</v>
      </c>
      <c r="E119" s="245" t="s">
        <v>1067</v>
      </c>
      <c r="F119" s="246" t="s">
        <v>1068</v>
      </c>
      <c r="G119" s="127" t="s">
        <v>1069</v>
      </c>
      <c r="H119" s="297" t="s">
        <v>1070</v>
      </c>
      <c r="I119" s="127" t="s">
        <v>19072</v>
      </c>
    </row>
    <row r="120" spans="1:9" ht="27.35">
      <c r="A120" s="127" t="str">
        <f>B120&amp;C120</f>
        <v>DeclarationB10B</v>
      </c>
      <c r="B120" s="127" t="s">
        <v>1008</v>
      </c>
      <c r="C120" s="127" t="s">
        <v>1071</v>
      </c>
      <c r="D120" s="127" t="s">
        <v>1072</v>
      </c>
      <c r="E120" s="245" t="s">
        <v>1073</v>
      </c>
      <c r="F120" s="246" t="s">
        <v>1074</v>
      </c>
      <c r="G120" s="127" t="s">
        <v>1075</v>
      </c>
      <c r="H120" s="297" t="s">
        <v>1076</v>
      </c>
      <c r="I120" s="127" t="s">
        <v>19073</v>
      </c>
    </row>
    <row r="121" spans="1:9" ht="27.35">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35">
      <c r="A133" s="127" t="str">
        <f t="shared" si="4"/>
        <v>DeclarationB24</v>
      </c>
      <c r="B133" s="127" t="s">
        <v>1008</v>
      </c>
      <c r="C133" s="127" t="s">
        <v>1139</v>
      </c>
      <c r="D133" s="127" t="s">
        <v>1140</v>
      </c>
      <c r="E133" s="245" t="s">
        <v>1141</v>
      </c>
      <c r="F133" s="246" t="s">
        <v>1142</v>
      </c>
      <c r="G133" s="127" t="s">
        <v>1143</v>
      </c>
      <c r="H133" s="297" t="s">
        <v>1144</v>
      </c>
      <c r="I133" s="127" t="s">
        <v>19086</v>
      </c>
    </row>
    <row r="134" spans="1:9" ht="50">
      <c r="A134" s="127" t="str">
        <f>B134&amp;C134</f>
        <v>DeclarationB25</v>
      </c>
      <c r="B134" s="127" t="s">
        <v>1008</v>
      </c>
      <c r="C134" s="127" t="s">
        <v>1145</v>
      </c>
      <c r="D134" s="127" t="s">
        <v>1146</v>
      </c>
      <c r="E134" s="245" t="s">
        <v>1147</v>
      </c>
      <c r="F134" s="291" t="s">
        <v>1148</v>
      </c>
      <c r="G134" s="127" t="s">
        <v>1149</v>
      </c>
      <c r="H134" s="297" t="s">
        <v>1150</v>
      </c>
      <c r="I134" s="127" t="s">
        <v>19087</v>
      </c>
    </row>
    <row r="135" spans="1:9" ht="27.35">
      <c r="A135" s="127" t="str">
        <f>B135&amp;C135</f>
        <v>DeclarationB31</v>
      </c>
      <c r="B135" s="127" t="s">
        <v>1008</v>
      </c>
      <c r="C135" s="127" t="s">
        <v>1151</v>
      </c>
      <c r="D135" s="127" t="s">
        <v>1152</v>
      </c>
      <c r="E135" s="127" t="s">
        <v>1153</v>
      </c>
      <c r="F135" s="291" t="s">
        <v>1154</v>
      </c>
      <c r="G135" s="127" t="s">
        <v>1155</v>
      </c>
      <c r="H135" s="297" t="s">
        <v>1156</v>
      </c>
      <c r="I135" s="127" t="s">
        <v>19088</v>
      </c>
    </row>
    <row r="136" spans="1:9" ht="68.349999999999994">
      <c r="A136" s="127" t="str">
        <f t="shared" si="4"/>
        <v>DeclarationB37</v>
      </c>
      <c r="B136" s="127" t="s">
        <v>1008</v>
      </c>
      <c r="C136" s="127" t="s">
        <v>1157</v>
      </c>
      <c r="D136" s="127" t="s">
        <v>1158</v>
      </c>
      <c r="E136" s="127" t="s">
        <v>1159</v>
      </c>
      <c r="F136" s="246" t="s">
        <v>1160</v>
      </c>
      <c r="G136" s="127" t="s">
        <v>1161</v>
      </c>
      <c r="H136" s="297" t="s">
        <v>1162</v>
      </c>
      <c r="I136" s="127" t="s">
        <v>19090</v>
      </c>
    </row>
    <row r="137" spans="1:9" ht="28.7">
      <c r="A137" s="127" t="str">
        <f t="shared" si="4"/>
        <v>DeclarationB43</v>
      </c>
      <c r="B137" s="127" t="s">
        <v>1008</v>
      </c>
      <c r="C137" s="127" t="s">
        <v>1163</v>
      </c>
      <c r="D137" s="127" t="s">
        <v>1164</v>
      </c>
      <c r="E137" s="245" t="s">
        <v>1165</v>
      </c>
      <c r="F137" s="246" t="s">
        <v>1166</v>
      </c>
      <c r="G137" s="127" t="s">
        <v>1167</v>
      </c>
      <c r="H137" s="297" t="s">
        <v>1168</v>
      </c>
      <c r="I137" s="127" t="s">
        <v>19091</v>
      </c>
    </row>
    <row r="138" spans="1:9" ht="28.7">
      <c r="A138" s="127" t="str">
        <f t="shared" si="4"/>
        <v>DeclarationB49</v>
      </c>
      <c r="B138" s="127" t="s">
        <v>1008</v>
      </c>
      <c r="C138" s="127" t="s">
        <v>1169</v>
      </c>
      <c r="D138" s="127" t="s">
        <v>1170</v>
      </c>
      <c r="E138" s="245" t="s">
        <v>1171</v>
      </c>
      <c r="F138" s="291" t="s">
        <v>1172</v>
      </c>
      <c r="G138" s="127" t="s">
        <v>1173</v>
      </c>
      <c r="H138" s="297" t="s">
        <v>1174</v>
      </c>
      <c r="I138" s="127" t="s">
        <v>19195</v>
      </c>
    </row>
    <row r="139" spans="1:9" ht="43">
      <c r="A139" s="127" t="str">
        <f t="shared" si="4"/>
        <v>DeclarationB55</v>
      </c>
      <c r="B139" s="127" t="s">
        <v>1008</v>
      </c>
      <c r="C139" s="127" t="s">
        <v>1175</v>
      </c>
      <c r="D139" s="127" t="s">
        <v>1176</v>
      </c>
      <c r="E139" s="249" t="s">
        <v>1177</v>
      </c>
      <c r="F139" s="246" t="s">
        <v>1178</v>
      </c>
      <c r="G139" s="127" t="s">
        <v>1179</v>
      </c>
      <c r="H139" s="297" t="s">
        <v>1180</v>
      </c>
      <c r="I139" s="127" t="s">
        <v>19196</v>
      </c>
    </row>
    <row r="140" spans="1:9" ht="54.7">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35">
      <c r="A142" s="127" t="str">
        <f t="shared" si="4"/>
        <v>DeclarationB69</v>
      </c>
      <c r="B142" s="127" t="s">
        <v>1008</v>
      </c>
      <c r="C142" s="127" t="s">
        <v>1193</v>
      </c>
      <c r="D142" s="127" t="s">
        <v>1194</v>
      </c>
      <c r="E142" s="245" t="s">
        <v>12697</v>
      </c>
      <c r="F142" s="291" t="s">
        <v>1195</v>
      </c>
      <c r="G142" s="127" t="s">
        <v>1196</v>
      </c>
      <c r="H142" s="297" t="s">
        <v>1197</v>
      </c>
      <c r="I142" s="127" t="s">
        <v>19095</v>
      </c>
    </row>
    <row r="143" spans="1:9" ht="54.7">
      <c r="A143" s="127" t="str">
        <f t="shared" si="4"/>
        <v>DeclarationB71</v>
      </c>
      <c r="B143" s="127" t="s">
        <v>1008</v>
      </c>
      <c r="C143" s="127" t="s">
        <v>1198</v>
      </c>
      <c r="D143" s="127" t="s">
        <v>1199</v>
      </c>
      <c r="E143" s="245" t="s">
        <v>12698</v>
      </c>
      <c r="F143" s="246" t="s">
        <v>1200</v>
      </c>
      <c r="G143" s="127" t="s">
        <v>1201</v>
      </c>
      <c r="H143" s="297" t="s">
        <v>1202</v>
      </c>
      <c r="I143" s="127" t="s">
        <v>19096</v>
      </c>
    </row>
    <row r="144" spans="1:9" ht="54.7">
      <c r="A144" s="127" t="str">
        <f t="shared" ref="A144:A177" si="6">B144&amp;C144</f>
        <v>Declaration</v>
      </c>
      <c r="B144" s="127" t="s">
        <v>1008</v>
      </c>
      <c r="D144" s="127" t="s">
        <v>1203</v>
      </c>
      <c r="E144" s="245" t="s">
        <v>1204</v>
      </c>
      <c r="F144" s="266" t="s">
        <v>1205</v>
      </c>
      <c r="G144" s="127" t="s">
        <v>1206</v>
      </c>
      <c r="H144" s="297" t="s">
        <v>1207</v>
      </c>
      <c r="I144" s="127"/>
    </row>
    <row r="145" spans="1:9" ht="82">
      <c r="A145" s="127" t="str">
        <f t="shared" si="6"/>
        <v>DeclarationB73</v>
      </c>
      <c r="B145" s="127" t="s">
        <v>1008</v>
      </c>
      <c r="C145" s="127" t="s">
        <v>1208</v>
      </c>
      <c r="D145" s="127" t="s">
        <v>1209</v>
      </c>
      <c r="E145" s="249" t="s">
        <v>1210</v>
      </c>
      <c r="F145" s="246" t="s">
        <v>1211</v>
      </c>
      <c r="G145" s="127" t="s">
        <v>1212</v>
      </c>
      <c r="H145" s="297" t="s">
        <v>1213</v>
      </c>
      <c r="I145" s="127" t="s">
        <v>19097</v>
      </c>
    </row>
    <row r="146" spans="1:9" ht="27.35">
      <c r="A146" s="127" t="str">
        <f t="shared" si="6"/>
        <v>DeclarationB77</v>
      </c>
      <c r="B146" s="127" t="s">
        <v>1008</v>
      </c>
      <c r="C146" s="127" t="s">
        <v>1214</v>
      </c>
      <c r="D146" s="127" t="s">
        <v>1215</v>
      </c>
      <c r="E146" s="245" t="s">
        <v>12699</v>
      </c>
      <c r="F146" s="246" t="s">
        <v>1216</v>
      </c>
      <c r="G146" s="127" t="s">
        <v>1217</v>
      </c>
      <c r="H146" s="303" t="s">
        <v>1218</v>
      </c>
      <c r="I146" s="127" t="s">
        <v>19089</v>
      </c>
    </row>
    <row r="147" spans="1:9" ht="43">
      <c r="A147" s="127" t="str">
        <f t="shared" si="6"/>
        <v>DeclarationB79</v>
      </c>
      <c r="B147" s="127" t="s">
        <v>1008</v>
      </c>
      <c r="C147" s="127" t="s">
        <v>1219</v>
      </c>
      <c r="D147" s="127" t="s">
        <v>1220</v>
      </c>
      <c r="E147" s="249" t="s">
        <v>1221</v>
      </c>
      <c r="F147" s="291" t="s">
        <v>1222</v>
      </c>
      <c r="G147" s="127" t="s">
        <v>1223</v>
      </c>
      <c r="H147" s="297" t="s">
        <v>1224</v>
      </c>
      <c r="I147" s="127" t="s">
        <v>19094</v>
      </c>
    </row>
    <row r="148" spans="1:9" ht="43">
      <c r="A148" s="127" t="str">
        <f t="shared" si="6"/>
        <v>DeclarationB81</v>
      </c>
      <c r="B148" s="127" t="s">
        <v>1008</v>
      </c>
      <c r="C148" s="127" t="s">
        <v>1225</v>
      </c>
      <c r="D148" s="127" t="s">
        <v>1226</v>
      </c>
      <c r="E148" s="245" t="s">
        <v>12700</v>
      </c>
      <c r="F148" s="246" t="s">
        <v>1227</v>
      </c>
      <c r="G148" s="127" t="s">
        <v>1228</v>
      </c>
      <c r="H148" s="297" t="s">
        <v>1229</v>
      </c>
      <c r="I148" s="127" t="s">
        <v>19093</v>
      </c>
    </row>
    <row r="149" spans="1:9" ht="27.35">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7">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35">
      <c r="A175" s="127" t="str">
        <f t="shared" si="6"/>
        <v>DeclarationB95</v>
      </c>
      <c r="B175" s="127" t="s">
        <v>1008</v>
      </c>
      <c r="C175" s="127" t="s">
        <v>1315</v>
      </c>
      <c r="D175" s="273" t="s">
        <v>1316</v>
      </c>
      <c r="E175" s="274" t="s">
        <v>1317</v>
      </c>
      <c r="F175" s="291" t="s">
        <v>1318</v>
      </c>
      <c r="G175" s="275" t="s">
        <v>1319</v>
      </c>
      <c r="H175" s="297" t="s">
        <v>1320</v>
      </c>
      <c r="I175" s="127" t="s">
        <v>19116</v>
      </c>
    </row>
    <row r="176" spans="1:9" ht="27.35">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35">
      <c r="A179" s="127" t="str">
        <f t="shared" si="8"/>
        <v>Smelter Look-upA4</v>
      </c>
      <c r="B179" s="127" t="s">
        <v>1329</v>
      </c>
      <c r="C179" s="127" t="s">
        <v>1335</v>
      </c>
      <c r="D179" s="127" t="s">
        <v>1336</v>
      </c>
      <c r="E179" s="278"/>
      <c r="F179" s="246" t="s">
        <v>1337</v>
      </c>
      <c r="G179" s="127" t="s">
        <v>1338</v>
      </c>
      <c r="H179" s="297" t="s">
        <v>1339</v>
      </c>
      <c r="I179" s="189" t="s">
        <v>19118</v>
      </c>
    </row>
    <row r="180" spans="1:9" ht="27.35">
      <c r="A180" s="127" t="str">
        <f t="shared" si="8"/>
        <v>Smelter Look-upB4</v>
      </c>
      <c r="B180" s="127" t="s">
        <v>1329</v>
      </c>
      <c r="C180" s="127" t="s">
        <v>785</v>
      </c>
      <c r="D180" s="127" t="s">
        <v>1340</v>
      </c>
      <c r="E180" s="294" t="s">
        <v>1341</v>
      </c>
      <c r="F180" s="291" t="s">
        <v>1342</v>
      </c>
      <c r="G180" s="127" t="s">
        <v>1343</v>
      </c>
      <c r="H180" s="297" t="s">
        <v>1344</v>
      </c>
      <c r="I180" s="189" t="s">
        <v>19119</v>
      </c>
    </row>
    <row r="181" spans="1:9" ht="27.35">
      <c r="A181" s="127" t="str">
        <f t="shared" si="8"/>
        <v>Smelter Look-up</v>
      </c>
      <c r="B181" s="127" t="s">
        <v>1329</v>
      </c>
      <c r="D181" s="127" t="s">
        <v>1345</v>
      </c>
      <c r="E181" s="278"/>
      <c r="F181" s="246" t="s">
        <v>1346</v>
      </c>
      <c r="G181" s="127" t="s">
        <v>1347</v>
      </c>
      <c r="H181" s="297" t="s">
        <v>1348</v>
      </c>
      <c r="I181" s="189" t="s">
        <v>19120</v>
      </c>
    </row>
    <row r="182" spans="1:9" ht="27.35">
      <c r="A182" s="127" t="str">
        <f t="shared" si="8"/>
        <v>Smelter Look-upC4</v>
      </c>
      <c r="B182" s="127" t="s">
        <v>1329</v>
      </c>
      <c r="C182" s="127" t="s">
        <v>900</v>
      </c>
      <c r="D182" s="127" t="s">
        <v>1349</v>
      </c>
      <c r="E182" s="278" t="s">
        <v>1350</v>
      </c>
      <c r="F182" s="246" t="s">
        <v>1351</v>
      </c>
      <c r="G182" s="127" t="s">
        <v>1352</v>
      </c>
      <c r="H182" s="297" t="s">
        <v>1353</v>
      </c>
      <c r="I182" s="189" t="s">
        <v>19121</v>
      </c>
    </row>
    <row r="183" spans="1:9" ht="27.35">
      <c r="A183" s="127" t="str">
        <f t="shared" si="8"/>
        <v>Smelter Look-upD4</v>
      </c>
      <c r="B183" s="127" t="s">
        <v>1329</v>
      </c>
      <c r="C183" s="127" t="s">
        <v>1354</v>
      </c>
      <c r="D183" s="127" t="s">
        <v>1355</v>
      </c>
      <c r="E183" s="278"/>
      <c r="F183" s="246" t="s">
        <v>1356</v>
      </c>
      <c r="G183" s="127" t="s">
        <v>1357</v>
      </c>
      <c r="H183" s="297" t="s">
        <v>1358</v>
      </c>
      <c r="I183" s="189" t="s">
        <v>19122</v>
      </c>
    </row>
    <row r="184" spans="1:9" ht="27.3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3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3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3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3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3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7">
      <c r="A200" s="127" t="str">
        <f t="shared" si="8"/>
        <v>Smelter ListN4</v>
      </c>
      <c r="B200" s="127" t="s">
        <v>1389</v>
      </c>
      <c r="C200" s="127" t="s">
        <v>1429</v>
      </c>
      <c r="D200" s="127" t="s">
        <v>1430</v>
      </c>
      <c r="E200" s="245" t="s">
        <v>1431</v>
      </c>
      <c r="F200" s="246" t="s">
        <v>1432</v>
      </c>
      <c r="G200" s="127" t="s">
        <v>1433</v>
      </c>
      <c r="H200" s="297" t="s">
        <v>1434</v>
      </c>
      <c r="I200" s="127" t="s">
        <v>19135</v>
      </c>
    </row>
    <row r="201" spans="1:9" ht="28.7">
      <c r="A201" s="127" t="str">
        <f t="shared" si="8"/>
        <v>Smelter ListO4</v>
      </c>
      <c r="B201" s="127" t="s">
        <v>1389</v>
      </c>
      <c r="C201" s="127" t="s">
        <v>1435</v>
      </c>
      <c r="D201" s="127" t="s">
        <v>1436</v>
      </c>
      <c r="E201" s="245" t="s">
        <v>1437</v>
      </c>
      <c r="F201" s="246" t="s">
        <v>1438</v>
      </c>
      <c r="G201" s="127" t="s">
        <v>1439</v>
      </c>
      <c r="H201" s="297" t="s">
        <v>1440</v>
      </c>
      <c r="I201" s="127" t="s">
        <v>19136</v>
      </c>
    </row>
    <row r="202" spans="1:9" ht="27.3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35">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7.35">
      <c r="A209" s="127" t="str">
        <f t="shared" si="8"/>
        <v>Smelter ListAH5</v>
      </c>
      <c r="B209" s="127" t="s">
        <v>1389</v>
      </c>
      <c r="C209" s="127" t="s">
        <v>1469</v>
      </c>
      <c r="D209" s="127" t="s">
        <v>25</v>
      </c>
      <c r="E209" s="245" t="s">
        <v>1275</v>
      </c>
      <c r="F209" s="246" t="s">
        <v>1276</v>
      </c>
      <c r="G209" s="127" t="s">
        <v>1277</v>
      </c>
      <c r="H209" s="297" t="s">
        <v>1278</v>
      </c>
      <c r="I209" s="127" t="s">
        <v>19107</v>
      </c>
    </row>
    <row r="210" spans="1:9" ht="27.35">
      <c r="A210" s="127" t="str">
        <f t="shared" si="8"/>
        <v>Smelter ListAH6</v>
      </c>
      <c r="B210" s="127" t="s">
        <v>1389</v>
      </c>
      <c r="C210" s="127" t="s">
        <v>1470</v>
      </c>
      <c r="D210" s="127" t="s">
        <v>22</v>
      </c>
      <c r="E210" s="245" t="s">
        <v>1280</v>
      </c>
      <c r="F210" s="246" t="s">
        <v>1281</v>
      </c>
      <c r="G210" s="127" t="s">
        <v>1282</v>
      </c>
      <c r="H210" s="297" t="s">
        <v>22</v>
      </c>
      <c r="I210" s="127" t="s">
        <v>19108</v>
      </c>
    </row>
    <row r="211" spans="1:9" ht="27.35">
      <c r="A211" s="127" t="str">
        <f t="shared" si="8"/>
        <v>Smelter ListAH7</v>
      </c>
      <c r="B211" s="127" t="s">
        <v>1389</v>
      </c>
      <c r="C211" s="127" t="s">
        <v>1471</v>
      </c>
      <c r="D211" s="127" t="s">
        <v>26</v>
      </c>
      <c r="E211" s="245" t="s">
        <v>1284</v>
      </c>
      <c r="F211" s="246" t="s">
        <v>1285</v>
      </c>
      <c r="G211" s="127" t="s">
        <v>1286</v>
      </c>
      <c r="H211" s="297" t="s">
        <v>1287</v>
      </c>
      <c r="I211" s="127" t="s">
        <v>19109</v>
      </c>
    </row>
    <row r="212" spans="1:9" ht="41">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35">
      <c r="A223" s="127" t="str">
        <f t="shared" si="8"/>
        <v>CheckerJ4</v>
      </c>
      <c r="B223" s="127" t="s">
        <v>1472</v>
      </c>
      <c r="C223" s="127" t="s">
        <v>1410</v>
      </c>
      <c r="D223" s="127" t="s">
        <v>1521</v>
      </c>
      <c r="E223" s="245" t="s">
        <v>1522</v>
      </c>
      <c r="F223" s="246" t="s">
        <v>1523</v>
      </c>
      <c r="G223" s="127" t="s">
        <v>1524</v>
      </c>
      <c r="H223" s="297" t="s">
        <v>1525</v>
      </c>
      <c r="I223" s="127" t="s">
        <v>19150</v>
      </c>
    </row>
    <row r="224" spans="1:9" ht="27.35">
      <c r="A224" s="127" t="str">
        <f t="shared" si="8"/>
        <v>CheckerJ5</v>
      </c>
      <c r="B224" s="127" t="s">
        <v>1472</v>
      </c>
      <c r="C224" s="127" t="s">
        <v>1526</v>
      </c>
      <c r="D224" s="127" t="s">
        <v>1527</v>
      </c>
      <c r="E224" s="245" t="s">
        <v>1528</v>
      </c>
      <c r="F224" s="246" t="s">
        <v>1529</v>
      </c>
      <c r="G224" s="127" t="s">
        <v>1530</v>
      </c>
      <c r="H224" s="297" t="s">
        <v>1531</v>
      </c>
      <c r="I224" s="127" t="s">
        <v>19151</v>
      </c>
    </row>
    <row r="225" spans="1:9" ht="27.35">
      <c r="A225" s="127" t="str">
        <f t="shared" si="8"/>
        <v>CheckerJ6</v>
      </c>
      <c r="B225" s="127" t="s">
        <v>1472</v>
      </c>
      <c r="C225" s="127" t="s">
        <v>1532</v>
      </c>
      <c r="D225" s="127" t="s">
        <v>1533</v>
      </c>
      <c r="E225" s="245" t="s">
        <v>1534</v>
      </c>
      <c r="F225" s="246" t="s">
        <v>1535</v>
      </c>
      <c r="G225" s="127" t="s">
        <v>1536</v>
      </c>
      <c r="H225" s="297" t="s">
        <v>1537</v>
      </c>
      <c r="I225" s="127" t="s">
        <v>19152</v>
      </c>
    </row>
    <row r="226" spans="1:9" ht="27.35">
      <c r="A226" s="127" t="str">
        <f t="shared" si="8"/>
        <v>CheckerJ7</v>
      </c>
      <c r="B226" s="127" t="s">
        <v>1472</v>
      </c>
      <c r="C226" s="127" t="s">
        <v>1538</v>
      </c>
      <c r="D226" s="127" t="s">
        <v>1539</v>
      </c>
      <c r="E226" s="245" t="s">
        <v>1540</v>
      </c>
      <c r="F226" s="246" t="s">
        <v>1541</v>
      </c>
      <c r="G226" s="127" t="s">
        <v>1542</v>
      </c>
      <c r="H226" s="297" t="s">
        <v>1543</v>
      </c>
      <c r="I226" s="127" t="s">
        <v>19153</v>
      </c>
    </row>
    <row r="227" spans="1:9" ht="28.7">
      <c r="A227" s="127" t="str">
        <f t="shared" si="8"/>
        <v>CheckerJ8</v>
      </c>
      <c r="B227" s="127" t="s">
        <v>1472</v>
      </c>
      <c r="C227" s="127" t="s">
        <v>1544</v>
      </c>
      <c r="D227" s="127" t="s">
        <v>1545</v>
      </c>
      <c r="E227" s="245" t="s">
        <v>1546</v>
      </c>
      <c r="F227" s="246" t="s">
        <v>1547</v>
      </c>
      <c r="G227" s="127" t="s">
        <v>1548</v>
      </c>
      <c r="H227" s="297" t="s">
        <v>1549</v>
      </c>
      <c r="I227" s="127" t="s">
        <v>19154</v>
      </c>
    </row>
    <row r="228" spans="1:9" ht="27.35">
      <c r="A228" s="127" t="str">
        <f t="shared" si="8"/>
        <v>CheckerJ9</v>
      </c>
      <c r="B228" s="127" t="s">
        <v>1472</v>
      </c>
      <c r="C228" s="127" t="s">
        <v>1550</v>
      </c>
      <c r="D228" s="127" t="s">
        <v>1551</v>
      </c>
      <c r="E228" s="245" t="s">
        <v>1552</v>
      </c>
      <c r="F228" s="246" t="s">
        <v>1553</v>
      </c>
      <c r="G228" s="127" t="s">
        <v>1554</v>
      </c>
      <c r="H228" s="297" t="s">
        <v>1555</v>
      </c>
      <c r="I228" s="127" t="s">
        <v>19155</v>
      </c>
    </row>
    <row r="229" spans="1:9" ht="41">
      <c r="A229" s="127" t="str">
        <f t="shared" si="8"/>
        <v>CheckerJ10</v>
      </c>
      <c r="B229" s="127" t="s">
        <v>1472</v>
      </c>
      <c r="C229" s="127" t="s">
        <v>1556</v>
      </c>
      <c r="D229" s="127" t="s">
        <v>1557</v>
      </c>
      <c r="E229" s="245" t="s">
        <v>1558</v>
      </c>
      <c r="F229" s="246" t="s">
        <v>1559</v>
      </c>
      <c r="G229" s="257" t="s">
        <v>1560</v>
      </c>
      <c r="H229" s="297" t="s">
        <v>1561</v>
      </c>
      <c r="I229" s="127" t="s">
        <v>19156</v>
      </c>
    </row>
    <row r="230" spans="1:9" ht="41">
      <c r="A230" s="127" t="str">
        <f t="shared" si="8"/>
        <v>CheckerJ11</v>
      </c>
      <c r="B230" s="127" t="s">
        <v>1472</v>
      </c>
      <c r="C230" s="127" t="s">
        <v>1562</v>
      </c>
      <c r="D230" s="127" t="s">
        <v>1563</v>
      </c>
      <c r="E230" s="245" t="s">
        <v>1564</v>
      </c>
      <c r="F230" s="246" t="s">
        <v>1565</v>
      </c>
      <c r="G230" s="257" t="s">
        <v>1566</v>
      </c>
      <c r="H230" s="297" t="s">
        <v>1567</v>
      </c>
      <c r="I230" s="127" t="s">
        <v>19157</v>
      </c>
    </row>
    <row r="231" spans="1:9" ht="41">
      <c r="A231" s="127" t="str">
        <f t="shared" si="8"/>
        <v>CheckerJ12</v>
      </c>
      <c r="B231" s="127" t="s">
        <v>1472</v>
      </c>
      <c r="C231" s="127" t="s">
        <v>1568</v>
      </c>
      <c r="D231" s="127" t="s">
        <v>1569</v>
      </c>
      <c r="E231" s="245" t="s">
        <v>1570</v>
      </c>
      <c r="F231" s="246" t="s">
        <v>1571</v>
      </c>
      <c r="G231" s="257" t="s">
        <v>1572</v>
      </c>
      <c r="H231" s="297" t="s">
        <v>1573</v>
      </c>
      <c r="I231" s="127" t="s">
        <v>19159</v>
      </c>
    </row>
    <row r="232" spans="1:9" ht="27.35">
      <c r="A232" s="127" t="str">
        <f t="shared" si="8"/>
        <v>CheckerJ13</v>
      </c>
      <c r="B232" s="127" t="s">
        <v>1472</v>
      </c>
      <c r="C232" s="127" t="s">
        <v>1574</v>
      </c>
      <c r="D232" s="127" t="s">
        <v>1575</v>
      </c>
      <c r="E232" s="245" t="s">
        <v>1576</v>
      </c>
      <c r="F232" s="246" t="s">
        <v>1577</v>
      </c>
      <c r="G232" s="127" t="s">
        <v>1578</v>
      </c>
      <c r="H232" s="297" t="s">
        <v>1579</v>
      </c>
      <c r="I232" s="127" t="s">
        <v>19158</v>
      </c>
    </row>
    <row r="233" spans="1:9" ht="28.7">
      <c r="A233" s="127" t="str">
        <f t="shared" si="8"/>
        <v>CheckerJ15</v>
      </c>
      <c r="B233" s="127" t="s">
        <v>1472</v>
      </c>
      <c r="C233" s="127" t="s">
        <v>1580</v>
      </c>
      <c r="D233" s="251" t="s">
        <v>1581</v>
      </c>
      <c r="E233" s="252" t="s">
        <v>1582</v>
      </c>
      <c r="F233" s="259" t="s">
        <v>1583</v>
      </c>
      <c r="G233" s="257" t="s">
        <v>1584</v>
      </c>
      <c r="H233" s="297" t="s">
        <v>1585</v>
      </c>
      <c r="I233" s="127" t="s">
        <v>19160</v>
      </c>
    </row>
    <row r="234" spans="1:9" ht="41">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7">
      <c r="A237" s="127" t="str">
        <f t="shared" si="8"/>
        <v>CheckerJ20</v>
      </c>
      <c r="B237" s="127" t="s">
        <v>1472</v>
      </c>
      <c r="C237" s="127" t="s">
        <v>1594</v>
      </c>
      <c r="D237" s="251" t="s">
        <v>1595</v>
      </c>
      <c r="E237" s="252" t="s">
        <v>1596</v>
      </c>
      <c r="F237" s="259" t="s">
        <v>1597</v>
      </c>
      <c r="G237" s="264" t="s">
        <v>1598</v>
      </c>
      <c r="H237" s="297" t="s">
        <v>1599</v>
      </c>
      <c r="I237" s="127" t="s">
        <v>19162</v>
      </c>
    </row>
    <row r="238" spans="1:9" ht="54.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7">
      <c r="A242" s="127" t="str">
        <f t="shared" si="9"/>
        <v>CheckerJ28</v>
      </c>
      <c r="B242" s="127" t="s">
        <v>1472</v>
      </c>
      <c r="C242" s="127" t="s">
        <v>1618</v>
      </c>
      <c r="D242" s="251" t="s">
        <v>1619</v>
      </c>
      <c r="E242" s="252" t="s">
        <v>1620</v>
      </c>
      <c r="F242" s="259" t="s">
        <v>1621</v>
      </c>
      <c r="G242" s="257" t="s">
        <v>1622</v>
      </c>
      <c r="H242" s="297" t="s">
        <v>1623</v>
      </c>
      <c r="I242" s="127" t="s">
        <v>19165</v>
      </c>
    </row>
    <row r="243" spans="1:9" ht="54.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7">
      <c r="A250" s="127" t="str">
        <f t="shared" si="9"/>
        <v>CheckerJ38</v>
      </c>
      <c r="B250" s="127" t="s">
        <v>1472</v>
      </c>
      <c r="C250" s="127" t="s">
        <v>1644</v>
      </c>
      <c r="D250" s="127" t="s">
        <v>1645</v>
      </c>
      <c r="E250" s="245" t="s">
        <v>1646</v>
      </c>
      <c r="F250" s="246" t="s">
        <v>1647</v>
      </c>
      <c r="G250" s="257" t="s">
        <v>1648</v>
      </c>
      <c r="H250" s="297" t="s">
        <v>1649</v>
      </c>
      <c r="I250" s="127" t="s">
        <v>19171</v>
      </c>
    </row>
    <row r="251" spans="1:9" ht="54.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
      <c r="A254" s="127" t="str">
        <f t="shared" si="9"/>
        <v>CheckerJ43</v>
      </c>
      <c r="B254" s="127" t="s">
        <v>1472</v>
      </c>
      <c r="C254" s="127" t="s">
        <v>1657</v>
      </c>
      <c r="D254" s="251" t="s">
        <v>1658</v>
      </c>
      <c r="E254" s="252" t="s">
        <v>1659</v>
      </c>
      <c r="F254" s="259" t="s">
        <v>1660</v>
      </c>
      <c r="G254" s="264" t="s">
        <v>1661</v>
      </c>
      <c r="H254" s="297" t="s">
        <v>1662</v>
      </c>
      <c r="I254" s="127" t="s">
        <v>19174</v>
      </c>
    </row>
    <row r="255" spans="1:9" ht="41">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7">
      <c r="A258" s="127" t="str">
        <f t="shared" si="9"/>
        <v>CheckerJ49</v>
      </c>
      <c r="B258" s="127" t="s">
        <v>1472</v>
      </c>
      <c r="C258" s="127" t="s">
        <v>1698</v>
      </c>
      <c r="D258" s="251" t="s">
        <v>1682</v>
      </c>
      <c r="E258" s="252" t="s">
        <v>1683</v>
      </c>
      <c r="F258" s="259" t="s">
        <v>1684</v>
      </c>
      <c r="G258" s="282" t="s">
        <v>1685</v>
      </c>
      <c r="H258" s="297" t="s">
        <v>1686</v>
      </c>
      <c r="I258" s="127" t="s">
        <v>19177</v>
      </c>
    </row>
    <row r="259" spans="1:9" ht="54.7">
      <c r="A259" s="127" t="str">
        <f t="shared" si="9"/>
        <v>CheckerJ48</v>
      </c>
      <c r="B259" s="127" t="s">
        <v>1472</v>
      </c>
      <c r="C259" s="127" t="s">
        <v>1687</v>
      </c>
      <c r="D259" s="127" t="s">
        <v>1688</v>
      </c>
      <c r="E259" s="249" t="s">
        <v>1689</v>
      </c>
      <c r="F259" s="246" t="s">
        <v>1690</v>
      </c>
      <c r="G259" s="247" t="s">
        <v>1691</v>
      </c>
      <c r="H259" s="297" t="s">
        <v>1692</v>
      </c>
      <c r="I259" s="127" t="s">
        <v>19178</v>
      </c>
    </row>
    <row r="260" spans="1:9" ht="54.7">
      <c r="A260" s="127" t="str">
        <f>B260&amp;C260</f>
        <v>CheckerJ50</v>
      </c>
      <c r="B260" s="127" t="s">
        <v>1472</v>
      </c>
      <c r="C260" s="127" t="s">
        <v>1681</v>
      </c>
      <c r="D260" s="127" t="s">
        <v>1693</v>
      </c>
      <c r="E260" s="249" t="s">
        <v>1694</v>
      </c>
      <c r="F260" s="283" t="s">
        <v>1695</v>
      </c>
      <c r="G260" s="254" t="s">
        <v>1696</v>
      </c>
      <c r="H260" s="297" t="s">
        <v>1697</v>
      </c>
      <c r="I260" s="127" t="s">
        <v>19179</v>
      </c>
    </row>
    <row r="261" spans="1:9" ht="43">
      <c r="A261" s="127" t="str">
        <f t="shared" si="9"/>
        <v>CheckerJ54</v>
      </c>
      <c r="B261" s="127" t="s">
        <v>1472</v>
      </c>
      <c r="C261" s="127" t="s">
        <v>1675</v>
      </c>
      <c r="D261" s="251" t="s">
        <v>12675</v>
      </c>
      <c r="E261" s="252" t="s">
        <v>12676</v>
      </c>
      <c r="F261" s="259" t="s">
        <v>12677</v>
      </c>
      <c r="G261" s="282" t="s">
        <v>12678</v>
      </c>
      <c r="H261" s="297" t="s">
        <v>12679</v>
      </c>
      <c r="I261" s="127" t="s">
        <v>19180</v>
      </c>
    </row>
    <row r="262" spans="1:9" ht="43" hidden="1">
      <c r="A262" s="127" t="str">
        <f t="shared" si="9"/>
        <v>Checker</v>
      </c>
      <c r="B262" s="127" t="s">
        <v>1472</v>
      </c>
      <c r="D262" s="127" t="s">
        <v>1699</v>
      </c>
      <c r="E262" s="245" t="s">
        <v>1700</v>
      </c>
      <c r="F262" s="246" t="s">
        <v>1701</v>
      </c>
      <c r="G262" s="127" t="s">
        <v>1702</v>
      </c>
      <c r="H262" s="297" t="s">
        <v>1703</v>
      </c>
    </row>
    <row r="263" spans="1:9" ht="71.7"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1">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3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8.349999999999994">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7">
      <c r="A290" s="127" t="s">
        <v>1247</v>
      </c>
      <c r="D290" s="127" t="s">
        <v>1781</v>
      </c>
      <c r="E290" s="245" t="s">
        <v>1782</v>
      </c>
      <c r="F290" s="246" t="s">
        <v>1783</v>
      </c>
      <c r="G290" s="128" t="s">
        <v>1784</v>
      </c>
      <c r="H290" s="297" t="s">
        <v>1785</v>
      </c>
    </row>
    <row r="291" spans="1:8" ht="68.34999999999999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11D671B-F685-400C-A257-430B9DD7F5F2}"/>
    </customSheetView>
    <customSheetView guid="{4BDF1A28-30D5-449D-B20E-D6C97EF9FAE1}" showAutoFilter="1">
      <selection activeCell="C174" sqref="C174"/>
      <pageMargins left="0" right="0" top="0" bottom="0" header="0" footer="0"/>
      <pageSetup paperSize="9" orientation="portrait"/>
      <autoFilter ref="B1:N1" xr:uid="{AC3A9CAE-AB62-4D2B-A981-308AFBF50213}"/>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Rolf Weyermann</cp:lastModifiedBy>
  <cp:revision/>
  <dcterms:created xsi:type="dcterms:W3CDTF">2010-06-21T21:00:23Z</dcterms:created>
  <dcterms:modified xsi:type="dcterms:W3CDTF">2025-04-10T10:18:37Z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